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NATHALIADOMINGO\Users\Public\LENI E NATALIA\ANO 2016\DIVERSOS\MAPA 2015 NATHÁLIA\MAPA 2016\"/>
    </mc:Choice>
  </mc:AlternateContent>
  <bookViews>
    <workbookView xWindow="336" yWindow="1296" windowWidth="9420" windowHeight="3900" tabRatio="608" firstSheet="6" activeTab="6"/>
  </bookViews>
  <sheets>
    <sheet name="OK-Obras 2015  (15-01-2016)" sheetId="54" r:id="rId1"/>
    <sheet name="LICITAÇÃO 2015" sheetId="57" r:id="rId2"/>
    <sheet name="ACOMPANHAMENTO OBRAS 2015" sheetId="58" r:id="rId3"/>
    <sheet name="MAPA ESC. AV. 2" sheetId="64" r:id="rId4"/>
    <sheet name="2016" sheetId="62" r:id="rId5"/>
    <sheet name="1º TRIMESTRE 2016" sheetId="65" r:id="rId6"/>
    <sheet name="3º TRIMESTRE 2016" sheetId="66" r:id="rId7"/>
    <sheet name="EMPRESAS" sheetId="60" r:id="rId8"/>
    <sheet name="Plan1" sheetId="63" r:id="rId9"/>
  </sheets>
  <definedNames>
    <definedName name="_xlnm._FilterDatabase" localSheetId="6" hidden="1">'3º TRIMESTRE 2016'!$B$9:$Y$24</definedName>
    <definedName name="_xlnm.Print_Area" localSheetId="5">'1º TRIMESTRE 2016'!$A$1:$X$116</definedName>
    <definedName name="_xlnm.Print_Area" localSheetId="6">'3º TRIMESTRE 2016'!$B$1:$AA$180</definedName>
    <definedName name="_xlnm.Print_Area" localSheetId="2">'ACOMPANHAMENTO OBRAS 2015'!$A$1:$M$107</definedName>
    <definedName name="_xlnm.Print_Area" localSheetId="7">EMPRESAS!$C$20:$E$44</definedName>
    <definedName name="_xlnm.Print_Area" localSheetId="0">'OK-Obras 2015  (15-01-2016)'!$A$138:$L$317</definedName>
    <definedName name="_xlnm.Print_Titles" localSheetId="6">'3º TRIMESTRE 2016'!$9:$12</definedName>
    <definedName name="_xlnm.Print_Titles" localSheetId="2">'ACOMPANHAMENTO OBRAS 2015'!$1:$15</definedName>
    <definedName name="_xlnm.Print_Titles" localSheetId="0">'OK-Obras 2015  (15-01-2016)'!$138:$152</definedName>
  </definedNames>
  <calcPr calcId="152511"/>
</workbook>
</file>

<file path=xl/calcChain.xml><?xml version="1.0" encoding="utf-8"?>
<calcChain xmlns="http://schemas.openxmlformats.org/spreadsheetml/2006/main">
  <c r="Z61" i="66" l="1"/>
  <c r="Z58" i="66"/>
  <c r="Z59" i="66"/>
  <c r="Z60" i="66"/>
  <c r="Z62" i="66"/>
  <c r="Z63" i="66"/>
  <c r="Z64" i="66"/>
  <c r="Z66" i="66"/>
  <c r="Z67" i="66"/>
  <c r="Z68" i="66"/>
  <c r="Z70" i="66"/>
  <c r="Z71" i="66"/>
  <c r="Z72" i="66"/>
  <c r="Z73" i="66"/>
  <c r="Z74" i="66"/>
  <c r="Z75" i="66"/>
  <c r="Z76" i="66"/>
  <c r="Z77" i="66"/>
  <c r="Z78" i="66"/>
  <c r="Z79" i="66"/>
  <c r="Z80" i="66"/>
  <c r="Z82" i="66"/>
  <c r="Z84" i="66"/>
  <c r="Z85" i="66"/>
  <c r="Z90" i="66"/>
  <c r="Z91" i="66"/>
  <c r="Z92" i="66"/>
  <c r="Z93" i="66"/>
  <c r="Z95" i="66"/>
  <c r="Z96" i="66"/>
  <c r="Z97" i="66"/>
  <c r="Z98" i="66"/>
  <c r="Z100" i="66"/>
  <c r="Z101" i="66"/>
  <c r="Z102" i="66"/>
  <c r="Z103" i="66"/>
  <c r="Z104" i="66"/>
  <c r="Z105" i="66"/>
  <c r="Z106" i="66"/>
  <c r="Z107" i="66"/>
  <c r="Z108" i="66"/>
  <c r="Z109" i="66"/>
  <c r="Z110" i="66"/>
  <c r="Z112" i="66"/>
  <c r="Z113" i="66"/>
  <c r="Z114" i="66"/>
  <c r="Z115" i="66"/>
  <c r="Z116" i="66"/>
  <c r="Z117" i="66"/>
  <c r="Z118" i="66"/>
  <c r="Z119" i="66"/>
  <c r="Z120" i="66"/>
  <c r="Z121" i="66"/>
  <c r="Z122" i="66"/>
  <c r="Z123" i="66"/>
  <c r="Z124" i="66"/>
  <c r="Z125" i="66"/>
  <c r="Z126" i="66"/>
  <c r="Z127" i="66"/>
  <c r="Z128" i="66"/>
  <c r="Z129" i="66"/>
  <c r="Z130" i="66"/>
  <c r="Z131" i="66"/>
  <c r="Z132" i="66"/>
  <c r="Z133" i="66"/>
  <c r="Z134" i="66"/>
  <c r="Z136" i="66"/>
  <c r="Z137" i="66"/>
  <c r="Z140" i="66"/>
  <c r="Z141" i="66"/>
  <c r="Z142" i="66"/>
  <c r="Z143" i="66"/>
  <c r="Z144" i="66"/>
  <c r="Z145" i="66"/>
  <c r="Z147" i="66"/>
  <c r="Z149" i="66"/>
  <c r="Z150" i="66"/>
  <c r="Z152" i="66"/>
  <c r="Z153" i="66"/>
  <c r="Z154" i="66"/>
  <c r="Z160" i="66"/>
  <c r="Z161" i="66"/>
  <c r="Z163" i="66"/>
  <c r="Z166" i="66"/>
  <c r="Z168" i="66"/>
  <c r="Z169" i="66"/>
  <c r="Z170" i="66"/>
  <c r="Z171" i="66"/>
  <c r="Z172" i="66"/>
  <c r="Z173" i="66"/>
  <c r="Z174" i="66"/>
  <c r="Z175" i="66"/>
  <c r="Z176" i="66"/>
  <c r="Z177" i="66"/>
  <c r="U104" i="66" l="1"/>
  <c r="U100" i="66"/>
  <c r="U154" i="66"/>
  <c r="AA76" i="66" l="1"/>
  <c r="AA77" i="66"/>
  <c r="AA78" i="66"/>
  <c r="AA79" i="66"/>
  <c r="AA80" i="66"/>
  <c r="AA82" i="66"/>
  <c r="AA84" i="66"/>
  <c r="AA85" i="66"/>
  <c r="AA90" i="66"/>
  <c r="AA91" i="66"/>
  <c r="AA92" i="66"/>
  <c r="AA93" i="66"/>
  <c r="AA95" i="66"/>
  <c r="AA96" i="66"/>
  <c r="AA97" i="66"/>
  <c r="AA98" i="66"/>
  <c r="AA100" i="66"/>
  <c r="AA101" i="66"/>
  <c r="AA102" i="66"/>
  <c r="AA103" i="66"/>
  <c r="AA104" i="66"/>
  <c r="AA105" i="66"/>
  <c r="AA106" i="66"/>
  <c r="AA107" i="66"/>
  <c r="AA108" i="66"/>
  <c r="AA109" i="66"/>
  <c r="AA110" i="66"/>
  <c r="AA112" i="66"/>
  <c r="AA113" i="66"/>
  <c r="AA114" i="66"/>
  <c r="AA115" i="66"/>
  <c r="AA116" i="66"/>
  <c r="AA117" i="66"/>
  <c r="AA118" i="66"/>
  <c r="AA119" i="66"/>
  <c r="AA120" i="66"/>
  <c r="AA121" i="66"/>
  <c r="AA122" i="66"/>
  <c r="AA123" i="66"/>
  <c r="AA124" i="66"/>
  <c r="AA125" i="66"/>
  <c r="AA126" i="66"/>
  <c r="AA127" i="66"/>
  <c r="AA128" i="66"/>
  <c r="AA129" i="66"/>
  <c r="AA130" i="66"/>
  <c r="AA131" i="66"/>
  <c r="AA132" i="66"/>
  <c r="AA133" i="66"/>
  <c r="AA134" i="66"/>
  <c r="AA136" i="66"/>
  <c r="AA137" i="66"/>
  <c r="AA140" i="66"/>
  <c r="AA141" i="66"/>
  <c r="AA142" i="66"/>
  <c r="AA143" i="66"/>
  <c r="AA144" i="66"/>
  <c r="AA145" i="66"/>
  <c r="AA147" i="66"/>
  <c r="AA149" i="66"/>
  <c r="AA150" i="66"/>
  <c r="AA152" i="66"/>
  <c r="AA153" i="66"/>
  <c r="AA154" i="66"/>
  <c r="AA160" i="66"/>
  <c r="AA161" i="66"/>
  <c r="AA163" i="66"/>
  <c r="AA166" i="66"/>
  <c r="AA168" i="66"/>
  <c r="AA169" i="66"/>
  <c r="AA170" i="66"/>
  <c r="AA171" i="66"/>
  <c r="AA172" i="66"/>
  <c r="AA173" i="66"/>
  <c r="AA174" i="66"/>
  <c r="AA175" i="66"/>
  <c r="AA176" i="66"/>
  <c r="AA177" i="66"/>
  <c r="AA72" i="66"/>
  <c r="AA73" i="66"/>
  <c r="AA74" i="66"/>
  <c r="AA75" i="66"/>
  <c r="AA68" i="66"/>
  <c r="AA70" i="66"/>
  <c r="AA71" i="66"/>
  <c r="AA66" i="66"/>
  <c r="AA67" i="66"/>
  <c r="AA60" i="66"/>
  <c r="AA61" i="66"/>
  <c r="AA62" i="66"/>
  <c r="AA63" i="66"/>
  <c r="AA64" i="66"/>
  <c r="AA59" i="66"/>
  <c r="Z36" i="66"/>
  <c r="AA58" i="66"/>
  <c r="R58" i="66"/>
  <c r="X127" i="66" l="1"/>
  <c r="W127" i="66"/>
  <c r="W35" i="66"/>
  <c r="X35" i="66"/>
  <c r="U35" i="66"/>
  <c r="W163" i="66"/>
  <c r="X163" i="66" s="1"/>
  <c r="U163" i="66"/>
  <c r="V163" i="66"/>
  <c r="U161" i="66"/>
  <c r="W154" i="66"/>
  <c r="X154" i="66" s="1"/>
  <c r="V154" i="66"/>
  <c r="U142" i="66"/>
  <c r="W129" i="66"/>
  <c r="U125" i="66"/>
  <c r="W117" i="66"/>
  <c r="V115" i="66"/>
  <c r="X106" i="66"/>
  <c r="U98" i="66"/>
  <c r="W98" i="66"/>
  <c r="U96" i="66"/>
  <c r="V95" i="66"/>
  <c r="W95" i="66"/>
  <c r="W93" i="66"/>
  <c r="X93" i="66" s="1"/>
  <c r="U84" i="66"/>
  <c r="U78" i="66"/>
  <c r="W72" i="66"/>
  <c r="U72" i="66"/>
  <c r="X129" i="66"/>
  <c r="W114" i="66"/>
  <c r="W113" i="66"/>
  <c r="W109" i="66"/>
  <c r="W100" i="66"/>
  <c r="X100" i="66" s="1"/>
  <c r="X97" i="66"/>
  <c r="W73" i="66"/>
  <c r="W34" i="66"/>
  <c r="U141" i="66" l="1"/>
  <c r="U144" i="66"/>
  <c r="U172" i="66"/>
  <c r="V84" i="66"/>
  <c r="W84" i="66" s="1"/>
  <c r="X84" i="66" s="1"/>
  <c r="X125" i="66"/>
  <c r="W125" i="66"/>
  <c r="V125" i="66"/>
  <c r="W141" i="66"/>
  <c r="X141" i="66" s="1"/>
  <c r="V141" i="66"/>
  <c r="W136" i="66"/>
  <c r="X136" i="66" s="1"/>
  <c r="V136" i="66"/>
  <c r="X98" i="66"/>
  <c r="V98" i="66"/>
  <c r="W104" i="66"/>
  <c r="V104" i="66"/>
  <c r="X104" i="66"/>
  <c r="W78" i="66"/>
  <c r="V78" i="66"/>
  <c r="V123" i="66"/>
  <c r="X123" i="66" s="1"/>
  <c r="W123" i="66"/>
  <c r="W105" i="66"/>
  <c r="V105" i="66"/>
  <c r="W115" i="66"/>
  <c r="X115" i="66"/>
  <c r="W166" i="66"/>
  <c r="X166" i="66"/>
  <c r="V166" i="66"/>
  <c r="X96" i="66"/>
  <c r="W96" i="66"/>
  <c r="V96" i="66"/>
  <c r="X144" i="66"/>
  <c r="W144" i="66"/>
  <c r="V144" i="66"/>
  <c r="X95" i="66"/>
  <c r="X117" i="66"/>
  <c r="V117" i="66"/>
  <c r="V58" i="66"/>
  <c r="W58" i="66" s="1"/>
  <c r="X145" i="66"/>
  <c r="U145" i="66"/>
  <c r="V145" i="66"/>
  <c r="W145" i="66" s="1"/>
  <c r="V35" i="66"/>
  <c r="V51" i="66"/>
  <c r="W51" i="66" s="1"/>
  <c r="X149" i="66"/>
  <c r="W149" i="66"/>
  <c r="V172" i="66"/>
  <c r="W172" i="66" s="1"/>
  <c r="X172" i="66" s="1"/>
  <c r="X134" i="66" l="1"/>
  <c r="W132" i="66"/>
  <c r="X132" i="66" s="1"/>
  <c r="X120" i="66"/>
  <c r="W119" i="66"/>
  <c r="X119" i="66" s="1"/>
  <c r="X112" i="66"/>
  <c r="W112" i="66"/>
  <c r="X109" i="66"/>
  <c r="W106" i="66"/>
  <c r="X90" i="66"/>
  <c r="W90" i="66"/>
  <c r="X143" i="66"/>
  <c r="W143" i="66"/>
  <c r="U143" i="66"/>
  <c r="W108" i="66"/>
  <c r="X108" i="66" s="1"/>
  <c r="U174" i="66"/>
  <c r="U173" i="66"/>
  <c r="U170" i="66"/>
  <c r="U169" i="66"/>
  <c r="U160" i="66"/>
  <c r="U153" i="66"/>
  <c r="U122" i="66"/>
  <c r="U109" i="66"/>
  <c r="U90" i="66"/>
  <c r="U117" i="66"/>
  <c r="U150" i="66"/>
  <c r="X142" i="66"/>
  <c r="W142" i="66"/>
  <c r="U136" i="66"/>
  <c r="X114" i="66"/>
  <c r="U114" i="66"/>
  <c r="X113" i="66"/>
  <c r="X147" i="66"/>
  <c r="W147" i="66"/>
  <c r="U147" i="66"/>
  <c r="U129" i="66"/>
  <c r="R127" i="66"/>
  <c r="U127" i="66"/>
  <c r="U126" i="66"/>
  <c r="U123" i="66"/>
  <c r="U115" i="66"/>
  <c r="U113" i="66"/>
  <c r="X105" i="66"/>
  <c r="U103" i="66"/>
  <c r="X102" i="66"/>
  <c r="W102" i="66"/>
  <c r="U95" i="66"/>
  <c r="U93" i="66"/>
  <c r="X92" i="66"/>
  <c r="W92" i="66"/>
  <c r="X91" i="66"/>
  <c r="U91" i="66"/>
  <c r="W85" i="66" l="1"/>
  <c r="X85" i="66"/>
  <c r="W82" i="66"/>
  <c r="X80" i="66"/>
  <c r="X82" i="66"/>
  <c r="X46" i="66"/>
  <c r="X79" i="66"/>
  <c r="W79" i="66"/>
  <c r="X78" i="66"/>
  <c r="W76" i="66"/>
  <c r="X76" i="66" s="1"/>
  <c r="U76" i="66"/>
  <c r="W74" i="66"/>
  <c r="W75" i="66"/>
  <c r="X75" i="66" s="1"/>
  <c r="U75" i="66"/>
  <c r="X73" i="66"/>
  <c r="X72" i="66"/>
  <c r="W70" i="66"/>
  <c r="U70" i="66"/>
  <c r="X68" i="66"/>
  <c r="U68" i="66"/>
  <c r="X67" i="66"/>
  <c r="W67" i="66"/>
  <c r="U67" i="66"/>
  <c r="W64" i="66"/>
  <c r="X64" i="66" s="1"/>
  <c r="U64" i="66"/>
  <c r="W63" i="66"/>
  <c r="X63" i="66" s="1"/>
  <c r="U63" i="66"/>
  <c r="X62" i="66"/>
  <c r="W62" i="66" s="1"/>
  <c r="X59" i="66"/>
  <c r="X58" i="66"/>
  <c r="U58" i="66"/>
  <c r="X51" i="66"/>
  <c r="U51" i="66"/>
  <c r="X40" i="66"/>
  <c r="W39" i="66"/>
  <c r="X36" i="66"/>
  <c r="U36" i="66"/>
  <c r="X34" i="66" l="1"/>
  <c r="U34" i="66"/>
  <c r="X33" i="66"/>
  <c r="U33" i="66"/>
  <c r="X32" i="66"/>
  <c r="U29" i="66"/>
  <c r="X27" i="66"/>
  <c r="U27" i="66"/>
  <c r="X24" i="66"/>
  <c r="X22" i="66"/>
  <c r="W22" i="66"/>
  <c r="U22" i="66"/>
  <c r="W19" i="66"/>
  <c r="X19" i="66"/>
  <c r="U19" i="66"/>
  <c r="W18" i="66"/>
  <c r="X18" i="66" s="1"/>
  <c r="R16" i="66"/>
  <c r="X15" i="66"/>
  <c r="X70" i="66" l="1"/>
  <c r="U45" i="66"/>
  <c r="X45" i="66" s="1"/>
  <c r="W45" i="66"/>
  <c r="AB70" i="66" l="1"/>
  <c r="Z52" i="66"/>
  <c r="W110" i="66" l="1"/>
  <c r="W107" i="66"/>
  <c r="V107" i="66"/>
  <c r="U119" i="66"/>
  <c r="R119" i="66" s="1"/>
  <c r="P114" i="66"/>
  <c r="P115" i="66"/>
  <c r="P109" i="66"/>
  <c r="P111" i="66"/>
  <c r="P99" i="66"/>
  <c r="P101" i="66"/>
  <c r="P103" i="66"/>
  <c r="P104" i="66"/>
  <c r="P95" i="66"/>
  <c r="P96" i="66"/>
  <c r="P98" i="66"/>
  <c r="P91" i="66"/>
  <c r="P93" i="66"/>
  <c r="P94" i="66"/>
  <c r="P83" i="66"/>
  <c r="P84" i="66"/>
  <c r="P81" i="66"/>
  <c r="P73" i="66"/>
  <c r="P74" i="66"/>
  <c r="P72" i="66"/>
  <c r="P69" i="66"/>
  <c r="P66" i="66"/>
  <c r="P65" i="66"/>
  <c r="P63" i="66"/>
  <c r="P59" i="66"/>
  <c r="P58" i="66"/>
  <c r="P57" i="66"/>
  <c r="P15" i="66"/>
  <c r="P16" i="66"/>
  <c r="P18" i="66"/>
  <c r="P19" i="66"/>
  <c r="P21" i="66"/>
  <c r="P22" i="66"/>
  <c r="P33" i="66"/>
  <c r="P34" i="66"/>
  <c r="P35" i="66"/>
  <c r="P45" i="66"/>
  <c r="P48" i="66"/>
  <c r="P51" i="66"/>
  <c r="U50" i="66"/>
  <c r="X50" i="66" s="1"/>
  <c r="U40" i="66" l="1"/>
  <c r="X37" i="66"/>
  <c r="U37" i="66"/>
  <c r="U24" i="66" l="1"/>
  <c r="U23" i="66"/>
  <c r="AE52" i="66"/>
  <c r="AE51" i="66"/>
  <c r="U79" i="66"/>
  <c r="U74" i="66"/>
  <c r="U82" i="66"/>
  <c r="AC52" i="66" l="1"/>
  <c r="T22" i="65"/>
  <c r="U105" i="66"/>
  <c r="U92" i="66"/>
  <c r="U102" i="66"/>
  <c r="U112" i="66"/>
  <c r="U132" i="66"/>
  <c r="X39" i="66"/>
  <c r="U108" i="66" l="1"/>
  <c r="X110" i="66"/>
  <c r="U85" i="66"/>
  <c r="U80" i="66"/>
  <c r="X74" i="66"/>
  <c r="U73" i="66"/>
  <c r="U62" i="66"/>
  <c r="X61" i="66"/>
  <c r="X52" i="66"/>
  <c r="U52" i="66"/>
  <c r="X49" i="66"/>
  <c r="U49" i="66"/>
  <c r="X47" i="66"/>
  <c r="U47" i="66"/>
  <c r="U46" i="66"/>
  <c r="X44" i="66"/>
  <c r="X43" i="66"/>
  <c r="X42" i="66"/>
  <c r="X41" i="66"/>
  <c r="U41" i="66"/>
  <c r="U39" i="66"/>
  <c r="X38" i="66"/>
  <c r="U38" i="66"/>
  <c r="W33" i="66"/>
  <c r="U32" i="66"/>
  <c r="X31" i="66"/>
  <c r="U31" i="66"/>
  <c r="X30" i="66"/>
  <c r="U30" i="66"/>
  <c r="X29" i="66"/>
  <c r="W28" i="66"/>
  <c r="X28" i="66" s="1"/>
  <c r="X23" i="66"/>
  <c r="X21" i="66"/>
  <c r="U21" i="66"/>
  <c r="U18" i="66"/>
  <c r="X16" i="66"/>
  <c r="U16" i="66"/>
  <c r="V15" i="66"/>
  <c r="U15" i="66"/>
  <c r="T49" i="65"/>
  <c r="T33" i="65"/>
  <c r="T64" i="65"/>
  <c r="U64" i="65"/>
  <c r="V64" i="65"/>
  <c r="T63" i="65"/>
  <c r="T40" i="65"/>
  <c r="V40" i="65" s="1"/>
  <c r="W40" i="65"/>
  <c r="T34" i="65"/>
  <c r="V34" i="65"/>
  <c r="W33" i="65"/>
  <c r="V22" i="65"/>
  <c r="W24" i="65"/>
  <c r="V24" i="65"/>
  <c r="T23" i="65"/>
  <c r="T21" i="65"/>
  <c r="W21" i="65"/>
  <c r="W19" i="65"/>
  <c r="V19" i="65"/>
  <c r="T19" i="65"/>
  <c r="W93" i="65"/>
  <c r="W98" i="65"/>
  <c r="T18" i="65"/>
  <c r="T15" i="65"/>
  <c r="W85" i="65"/>
  <c r="W86" i="65"/>
  <c r="U77" i="65"/>
  <c r="T67" i="65"/>
  <c r="U67" i="65"/>
  <c r="T24" i="65"/>
  <c r="U19" i="65"/>
  <c r="T86" i="65"/>
  <c r="T85" i="65"/>
  <c r="T77" i="65"/>
  <c r="U63" i="65"/>
  <c r="U62" i="65"/>
  <c r="T62" i="65"/>
  <c r="T74" i="65"/>
  <c r="U74" i="65"/>
  <c r="W74" i="65" s="1"/>
  <c r="U34" i="65"/>
  <c r="W34" i="65" s="1"/>
  <c r="U81" i="65"/>
  <c r="W81" i="65" s="1"/>
  <c r="T81" i="65"/>
  <c r="U80" i="65"/>
  <c r="W80" i="65" s="1"/>
  <c r="T80" i="65"/>
  <c r="U72" i="65"/>
  <c r="T72" i="65"/>
  <c r="U75" i="65"/>
  <c r="T75" i="65"/>
  <c r="U83" i="65"/>
  <c r="W83" i="65" s="1"/>
  <c r="T83" i="65"/>
  <c r="U73" i="65"/>
  <c r="W73" i="65" s="1"/>
  <c r="T73" i="65"/>
  <c r="U22" i="65"/>
  <c r="W22" i="65" s="1"/>
  <c r="T79" i="65"/>
  <c r="U79" i="65"/>
  <c r="W79" i="65" s="1"/>
  <c r="U58" i="65"/>
  <c r="W32" i="65"/>
  <c r="U51" i="65"/>
  <c r="T51" i="65"/>
  <c r="U45" i="65"/>
  <c r="T45" i="65"/>
  <c r="U70" i="65"/>
  <c r="T70" i="65"/>
  <c r="T52" i="65"/>
  <c r="V51" i="65"/>
  <c r="T50" i="65"/>
  <c r="T47" i="65"/>
  <c r="T46" i="65"/>
  <c r="V33" i="65"/>
  <c r="W43" i="65"/>
  <c r="W51" i="65" l="1"/>
  <c r="AB53" i="66"/>
  <c r="W39" i="65"/>
  <c r="V39" i="65"/>
  <c r="T39" i="65"/>
  <c r="T38" i="65"/>
  <c r="W38" i="65"/>
  <c r="T37" i="65"/>
  <c r="T36" i="65"/>
  <c r="W36" i="65"/>
  <c r="T35" i="65" l="1"/>
  <c r="Q32" i="65"/>
  <c r="T32" i="65"/>
  <c r="T31" i="65"/>
  <c r="W23" i="65"/>
  <c r="T16" i="65"/>
  <c r="T68" i="65" l="1"/>
  <c r="T58" i="65"/>
  <c r="V50" i="65"/>
  <c r="W50" i="65" s="1"/>
  <c r="W47" i="65"/>
  <c r="V47" i="65"/>
  <c r="V45" i="65"/>
  <c r="W45" i="65" s="1"/>
  <c r="W44" i="65"/>
  <c r="V44" i="65"/>
  <c r="W37" i="65"/>
  <c r="V36" i="65"/>
  <c r="V35" i="65"/>
  <c r="W35" i="65" s="1"/>
  <c r="V32" i="65"/>
  <c r="W30" i="65"/>
  <c r="V29" i="65"/>
  <c r="W29" i="65"/>
  <c r="W27" i="65"/>
  <c r="W79" i="62" l="1"/>
  <c r="W18" i="65"/>
  <c r="W16" i="65"/>
  <c r="V16" i="65"/>
  <c r="V77" i="65"/>
  <c r="W77" i="65" s="1"/>
  <c r="V75" i="65"/>
  <c r="W75" i="65" s="1"/>
  <c r="V72" i="65"/>
  <c r="W72" i="65" s="1"/>
  <c r="V70" i="65"/>
  <c r="V68" i="65"/>
  <c r="W68" i="65" s="1"/>
  <c r="V67" i="65"/>
  <c r="W67" i="65" s="1"/>
  <c r="W64" i="65"/>
  <c r="W62" i="65"/>
  <c r="W61" i="65"/>
  <c r="W59" i="65"/>
  <c r="V63" i="65"/>
  <c r="W63" i="65" s="1"/>
  <c r="W52" i="65"/>
  <c r="V52" i="65"/>
  <c r="W49" i="65"/>
  <c r="V49" i="65"/>
  <c r="V46" i="65"/>
  <c r="W46" i="65" s="1"/>
  <c r="W42" i="65"/>
  <c r="W41" i="65"/>
  <c r="T41" i="65"/>
  <c r="V37" i="65"/>
  <c r="W31" i="65"/>
  <c r="T30" i="65"/>
  <c r="V28" i="65"/>
  <c r="W28" i="65" s="1"/>
  <c r="V15" i="65"/>
  <c r="W15" i="65" s="1"/>
  <c r="U15" i="65"/>
  <c r="V58" i="65"/>
  <c r="W58" i="65" s="1"/>
  <c r="W111" i="65"/>
  <c r="U111" i="65"/>
  <c r="U46" i="62"/>
  <c r="V45" i="62"/>
  <c r="W70" i="65" l="1"/>
  <c r="T54" i="62"/>
  <c r="U54" i="62"/>
  <c r="V54" i="62" s="1"/>
  <c r="U94" i="62"/>
  <c r="V94" i="62"/>
  <c r="W94" i="62" s="1"/>
  <c r="W54" i="62" l="1"/>
  <c r="T61" i="62"/>
  <c r="U61" i="62" s="1"/>
  <c r="V61" i="62" s="1"/>
  <c r="W61" i="62" s="1"/>
  <c r="U64" i="62"/>
  <c r="V64" i="62" s="1"/>
  <c r="W64" i="62" s="1"/>
  <c r="T64" i="62"/>
  <c r="W35" i="62" l="1"/>
  <c r="V35" i="62"/>
  <c r="U35" i="62"/>
  <c r="U51" i="62"/>
  <c r="V51" i="62" s="1"/>
  <c r="W51" i="62" s="1"/>
  <c r="V79" i="62"/>
  <c r="U79" i="62"/>
  <c r="W92" i="62"/>
  <c r="V92" i="62"/>
  <c r="U92" i="62"/>
  <c r="V113" i="62"/>
  <c r="W113" i="62" s="1"/>
  <c r="U113" i="62"/>
  <c r="U107" i="62"/>
  <c r="V107" i="62" s="1"/>
  <c r="W107" i="62" s="1"/>
  <c r="U57" i="62"/>
  <c r="V57" i="62"/>
  <c r="W57" i="62" s="1"/>
  <c r="W100" i="62"/>
  <c r="W84" i="62"/>
  <c r="V87" i="62" l="1"/>
  <c r="W87" i="62" s="1"/>
  <c r="T90" i="62"/>
  <c r="W90" i="62"/>
  <c r="W91" i="62"/>
  <c r="W114" i="62"/>
  <c r="V114" i="62"/>
  <c r="V112" i="62"/>
  <c r="W112" i="62" s="1"/>
  <c r="U112" i="62"/>
  <c r="T112" i="62"/>
  <c r="W111" i="62"/>
  <c r="V111" i="62"/>
  <c r="V109" i="62"/>
  <c r="U109" i="62"/>
  <c r="V108" i="62"/>
  <c r="W108" i="62" s="1"/>
  <c r="V106" i="62"/>
  <c r="W106" i="62" s="1"/>
  <c r="W105" i="62"/>
  <c r="W103" i="62"/>
  <c r="W102" i="62"/>
  <c r="T102" i="62"/>
  <c r="V101" i="62"/>
  <c r="U101" i="62"/>
  <c r="T101" i="62"/>
  <c r="W99" i="62"/>
  <c r="T99" i="62"/>
  <c r="V98" i="62"/>
  <c r="W98" i="62" s="1"/>
  <c r="V97" i="62"/>
  <c r="W97" i="62" s="1"/>
  <c r="W83" i="62"/>
  <c r="T83" i="62"/>
  <c r="W81" i="62"/>
  <c r="W78" i="62"/>
  <c r="W76" i="62"/>
  <c r="V76" i="62"/>
  <c r="V75" i="62"/>
  <c r="W75" i="62" s="1"/>
  <c r="U75" i="62"/>
  <c r="W50" i="62"/>
  <c r="V50" i="62"/>
  <c r="U50" i="62"/>
  <c r="T50" i="62"/>
  <c r="U45" i="62"/>
  <c r="W45" i="62" s="1"/>
  <c r="AA51" i="62" l="1"/>
  <c r="W101" i="62"/>
  <c r="W109" i="62"/>
  <c r="K154" i="54" l="1"/>
  <c r="K94" i="58" l="1"/>
  <c r="K86" i="58"/>
  <c r="L86" i="58" s="1"/>
  <c r="K81" i="58"/>
  <c r="L81" i="58" s="1"/>
  <c r="K80" i="58"/>
  <c r="L80" i="58" s="1"/>
  <c r="K79" i="58"/>
  <c r="L79" i="58" s="1"/>
  <c r="K77" i="58"/>
  <c r="L77" i="58" s="1"/>
  <c r="K76" i="58"/>
  <c r="L76" i="58" s="1"/>
  <c r="L74" i="58"/>
  <c r="K74" i="58"/>
  <c r="K73" i="58"/>
  <c r="L73" i="58" s="1"/>
  <c r="K71" i="58"/>
  <c r="L71" i="58" s="1"/>
  <c r="K70" i="58"/>
  <c r="L70" i="58" s="1"/>
  <c r="K68" i="58"/>
  <c r="L68" i="58" s="1"/>
  <c r="L65" i="58"/>
  <c r="L64" i="58"/>
  <c r="K64" i="58"/>
  <c r="K63" i="58"/>
  <c r="L63" i="58" s="1"/>
  <c r="L62" i="58"/>
  <c r="K62" i="58"/>
  <c r="K60" i="58"/>
  <c r="L60" i="58" s="1"/>
  <c r="K54" i="58"/>
  <c r="L54" i="58" s="1"/>
  <c r="L53" i="58"/>
  <c r="K53" i="58"/>
  <c r="K50" i="58"/>
  <c r="L50" i="58" s="1"/>
  <c r="K49" i="58"/>
  <c r="L49" i="58" s="1"/>
  <c r="K47" i="58"/>
  <c r="L47" i="58" s="1"/>
  <c r="K46" i="58"/>
  <c r="L46" i="58" s="1"/>
  <c r="K42" i="58"/>
  <c r="L42" i="58" s="1"/>
  <c r="K40" i="58"/>
  <c r="K35" i="58"/>
  <c r="L35" i="58" s="1"/>
  <c r="N32" i="58"/>
  <c r="N31" i="58"/>
  <c r="K30" i="58"/>
  <c r="L30" i="58" s="1"/>
  <c r="N30" i="58" s="1"/>
  <c r="K29" i="58"/>
  <c r="L29" i="58" s="1"/>
  <c r="N29" i="58" s="1"/>
  <c r="K28" i="58"/>
  <c r="L28" i="58" s="1"/>
  <c r="N28" i="58" s="1"/>
  <c r="K27" i="58"/>
  <c r="L27" i="58" s="1"/>
  <c r="N27" i="58" s="1"/>
  <c r="L26" i="58"/>
  <c r="N26" i="58" s="1"/>
  <c r="K26" i="58"/>
  <c r="L25" i="58"/>
  <c r="N25" i="58" s="1"/>
  <c r="K24" i="58"/>
  <c r="L24" i="58" s="1"/>
  <c r="N24" i="58" s="1"/>
  <c r="L23" i="58"/>
  <c r="N23" i="58" s="1"/>
  <c r="K23" i="58"/>
  <c r="K22" i="58"/>
  <c r="L22" i="58" s="1"/>
  <c r="N22" i="58" s="1"/>
  <c r="K21" i="58"/>
  <c r="L21" i="58" s="1"/>
  <c r="N21" i="58" s="1"/>
  <c r="K20" i="58"/>
  <c r="L20" i="58" s="1"/>
  <c r="N20" i="58" s="1"/>
  <c r="K19" i="58"/>
  <c r="L19" i="58" s="1"/>
  <c r="N19" i="58" s="1"/>
  <c r="K18" i="58"/>
  <c r="L18" i="58" s="1"/>
  <c r="N18" i="58" s="1"/>
  <c r="N241" i="54" l="1"/>
  <c r="N242" i="54"/>
  <c r="K228" i="54"/>
  <c r="K229" i="54" l="1"/>
  <c r="L229" i="54" s="1"/>
  <c r="N229" i="54" s="1"/>
  <c r="K212" i="54"/>
  <c r="L212" i="54" s="1"/>
  <c r="K304" i="54"/>
  <c r="K257" i="54"/>
  <c r="L257" i="54" s="1"/>
  <c r="K273" i="54"/>
  <c r="L273" i="54" s="1"/>
  <c r="K259" i="54"/>
  <c r="L259" i="54" s="1"/>
  <c r="L228" i="54"/>
  <c r="N228" i="54" s="1"/>
  <c r="K252" i="54"/>
  <c r="L252" i="54" s="1"/>
  <c r="K287" i="54"/>
  <c r="L287" i="54" s="1"/>
  <c r="K280" i="54"/>
  <c r="L280" i="54" s="1"/>
  <c r="K283" i="54" l="1"/>
  <c r="L283" i="54" s="1"/>
  <c r="K270" i="54"/>
  <c r="L270" i="54" s="1"/>
  <c r="K286" i="54"/>
  <c r="L286" i="54" s="1"/>
  <c r="L275" i="54"/>
  <c r="K296" i="54"/>
  <c r="L296" i="54" s="1"/>
  <c r="K220" i="54"/>
  <c r="L220" i="54" s="1"/>
  <c r="K170" i="54"/>
  <c r="L170" i="54" s="1"/>
  <c r="K191" i="54"/>
  <c r="L191" i="54" s="1"/>
  <c r="K216" i="54"/>
  <c r="L216" i="54" s="1"/>
  <c r="K207" i="54"/>
  <c r="L207" i="54" s="1"/>
  <c r="K237" i="54"/>
  <c r="L237" i="54" s="1"/>
  <c r="N237" i="54" s="1"/>
  <c r="K289" i="54"/>
  <c r="L289" i="54" s="1"/>
  <c r="K260" i="54"/>
  <c r="L260" i="54" s="1"/>
  <c r="K281" i="54"/>
  <c r="L281" i="54" s="1"/>
  <c r="K290" i="54"/>
  <c r="L290" i="54" s="1"/>
  <c r="K291" i="54"/>
  <c r="L291" i="54" s="1"/>
  <c r="K198" i="54"/>
  <c r="L198" i="54" s="1"/>
  <c r="L263" i="54"/>
  <c r="K263" i="54"/>
  <c r="K264" i="54"/>
  <c r="L264" i="54" s="1"/>
  <c r="K186" i="54"/>
  <c r="L186" i="54" s="1"/>
  <c r="K221" i="54"/>
  <c r="L221" i="54" s="1"/>
  <c r="K194" i="54"/>
  <c r="L194" i="54" s="1"/>
  <c r="K166" i="54"/>
  <c r="L166" i="54" s="1"/>
  <c r="K278" i="54"/>
  <c r="L278" i="54" s="1"/>
  <c r="L171" i="54" l="1"/>
  <c r="L161" i="54"/>
  <c r="L177" i="54"/>
  <c r="L205" i="54"/>
  <c r="K205" i="54" s="1"/>
  <c r="K199" i="54"/>
  <c r="K193" i="54"/>
  <c r="L193" i="54" s="1"/>
  <c r="L184" i="54"/>
  <c r="K213" i="54"/>
  <c r="K204" i="54"/>
  <c r="K187" i="54"/>
  <c r="K188" i="54"/>
  <c r="K239" i="54"/>
  <c r="L235" i="54"/>
  <c r="N235" i="54" s="1"/>
  <c r="K206" i="54" l="1"/>
  <c r="L206" i="54" s="1"/>
  <c r="K201" i="54"/>
  <c r="K176" i="54"/>
  <c r="L176" i="54" s="1"/>
  <c r="K185" i="54" l="1"/>
  <c r="L185" i="54" s="1"/>
  <c r="L204" i="54" l="1"/>
  <c r="K223" i="54"/>
  <c r="L223" i="54"/>
  <c r="L213" i="54" l="1"/>
  <c r="L162" i="54"/>
  <c r="K162" i="54"/>
  <c r="K250" i="54"/>
  <c r="K238" i="54" l="1"/>
  <c r="L238" i="54" s="1"/>
  <c r="N238" i="54" s="1"/>
  <c r="K230" i="54"/>
  <c r="L230" i="54" s="1"/>
  <c r="N230" i="54" s="1"/>
  <c r="K232" i="54"/>
  <c r="K245" i="54"/>
  <c r="L245" i="54" s="1"/>
  <c r="L272" i="54"/>
  <c r="K272" i="54"/>
  <c r="K256" i="54"/>
  <c r="L256" i="54" s="1"/>
  <c r="K215" i="54"/>
  <c r="L215" i="54" s="1"/>
  <c r="K214" i="54"/>
  <c r="L214" i="54" s="1"/>
  <c r="K160" i="54"/>
  <c r="L160" i="54" s="1"/>
  <c r="L236" i="54" l="1"/>
  <c r="N236" i="54" s="1"/>
  <c r="L284" i="54"/>
  <c r="K284" i="54"/>
  <c r="L274" i="54"/>
  <c r="K274" i="54"/>
  <c r="K240" i="54"/>
  <c r="L240" i="54" s="1"/>
  <c r="N240" i="54" s="1"/>
  <c r="L239" i="54"/>
  <c r="N239" i="54" s="1"/>
  <c r="K236" i="54"/>
  <c r="K234" i="54"/>
  <c r="L234" i="54" s="1"/>
  <c r="N234" i="54" s="1"/>
  <c r="L233" i="54"/>
  <c r="N233" i="54" s="1"/>
  <c r="K233" i="54"/>
  <c r="L232" i="54"/>
  <c r="N232" i="54" s="1"/>
  <c r="K231" i="54"/>
  <c r="L231" i="54" s="1"/>
  <c r="N231" i="54" s="1"/>
  <c r="L209" i="54" l="1"/>
  <c r="L210" i="54"/>
  <c r="L164" i="54"/>
  <c r="K217" i="54"/>
  <c r="L217" i="54" s="1"/>
  <c r="K178" i="54" l="1"/>
  <c r="L178" i="54" s="1"/>
  <c r="K173" i="54"/>
  <c r="L173" i="54" s="1"/>
  <c r="L172" i="54"/>
  <c r="L169" i="54"/>
  <c r="N165" i="54"/>
  <c r="L165" i="54"/>
  <c r="O184" i="54"/>
  <c r="L154" i="54"/>
  <c r="L219" i="54" l="1"/>
  <c r="K183" i="54" l="1"/>
  <c r="K22" i="54" l="1"/>
  <c r="K54" i="54"/>
  <c r="L54" i="54" s="1"/>
  <c r="K18" i="54"/>
  <c r="L18" i="54" s="1"/>
  <c r="L123" i="54"/>
  <c r="K122" i="54"/>
  <c r="L122" i="54" s="1"/>
  <c r="K129" i="54"/>
  <c r="K121" i="54"/>
  <c r="K118" i="54"/>
  <c r="L118" i="54" s="1"/>
  <c r="K120" i="54"/>
  <c r="K126" i="54"/>
  <c r="K125" i="54"/>
  <c r="K222" i="54"/>
  <c r="L222" i="54" s="1"/>
  <c r="K179" i="54"/>
  <c r="K181" i="54"/>
  <c r="L181" i="54" s="1"/>
  <c r="K180" i="54"/>
  <c r="L180" i="54" s="1"/>
  <c r="L199" i="54"/>
  <c r="K130" i="54"/>
  <c r="K108" i="54"/>
  <c r="L108" i="54" s="1"/>
  <c r="K189" i="54"/>
  <c r="L189" i="54" s="1"/>
  <c r="K200" i="54"/>
  <c r="L200" i="54" s="1"/>
  <c r="K190" i="54"/>
  <c r="L190" i="54" s="1"/>
  <c r="K127" i="54"/>
  <c r="K128" i="54"/>
  <c r="K81" i="54" l="1"/>
  <c r="K80" i="54"/>
  <c r="K184" i="54" l="1"/>
  <c r="K192" i="54"/>
  <c r="L192" i="54" s="1"/>
  <c r="L179" i="54"/>
  <c r="L188" i="54"/>
  <c r="K202" i="54"/>
  <c r="L202" i="54" s="1"/>
  <c r="L187" i="54"/>
  <c r="K104" i="54"/>
  <c r="K72" i="54"/>
  <c r="K74" i="54"/>
  <c r="L201" i="54"/>
  <c r="K203" i="54"/>
  <c r="L203" i="54" s="1"/>
  <c r="J136" i="54" l="1"/>
  <c r="L130" i="54"/>
  <c r="L128" i="54"/>
  <c r="L127" i="54"/>
  <c r="L126" i="54"/>
  <c r="L125" i="54"/>
  <c r="L121" i="54"/>
  <c r="L120" i="54"/>
  <c r="K116" i="54"/>
  <c r="L116" i="54" s="1"/>
  <c r="J111" i="54"/>
  <c r="L107" i="54"/>
  <c r="L106" i="54"/>
  <c r="L105" i="54"/>
  <c r="L104" i="54"/>
  <c r="L102" i="54"/>
  <c r="L101" i="54"/>
  <c r="K100" i="54"/>
  <c r="L100" i="54" s="1"/>
  <c r="L99" i="54"/>
  <c r="K98" i="54"/>
  <c r="L98" i="54" s="1"/>
  <c r="L97" i="54"/>
  <c r="K95" i="54"/>
  <c r="L95" i="54" s="1"/>
  <c r="L94" i="54"/>
  <c r="L92" i="54"/>
  <c r="L90" i="54"/>
  <c r="K90" i="54"/>
  <c r="K89" i="54"/>
  <c r="L89" i="54" s="1"/>
  <c r="L87" i="54"/>
  <c r="L85" i="54"/>
  <c r="K83" i="54"/>
  <c r="L83" i="54" s="1"/>
  <c r="L82" i="54"/>
  <c r="K82" i="54"/>
  <c r="L80" i="54"/>
  <c r="L79" i="54"/>
  <c r="L78" i="54"/>
  <c r="L77" i="54"/>
  <c r="K76" i="54"/>
  <c r="L76" i="54" s="1"/>
  <c r="L75" i="54"/>
  <c r="L74" i="54"/>
  <c r="L73" i="54"/>
  <c r="K73" i="54"/>
  <c r="L72" i="54"/>
  <c r="L71" i="54"/>
  <c r="L70" i="54"/>
  <c r="L67" i="54"/>
  <c r="L66" i="54"/>
  <c r="K66" i="54"/>
  <c r="L64" i="54"/>
  <c r="K64" i="54"/>
  <c r="L63" i="54"/>
  <c r="O61" i="54"/>
  <c r="N61" i="54"/>
  <c r="J59" i="54"/>
  <c r="L58" i="54"/>
  <c r="K48" i="54"/>
  <c r="L48" i="54" s="1"/>
  <c r="L44" i="54"/>
  <c r="L38" i="54"/>
  <c r="K38" i="54"/>
  <c r="L32" i="54"/>
  <c r="K32" i="54"/>
  <c r="N27" i="54"/>
  <c r="L25" i="54"/>
  <c r="J19" i="54"/>
  <c r="K19" i="54"/>
  <c r="L19" i="54" s="1"/>
  <c r="K136" i="54" l="1"/>
  <c r="L59" i="54"/>
  <c r="K59" i="54"/>
  <c r="K111" i="54"/>
  <c r="L111" i="54"/>
  <c r="L129" i="54"/>
  <c r="L136" i="54" s="1"/>
</calcChain>
</file>

<file path=xl/comments1.xml><?xml version="1.0" encoding="utf-8"?>
<comments xmlns="http://schemas.openxmlformats.org/spreadsheetml/2006/main">
  <authors>
    <author>USUARIO</author>
  </authors>
  <commentList>
    <comment ref="Q32" authorId="0" shapeId="0">
      <text>
        <r>
          <rPr>
            <b/>
            <sz val="9"/>
            <color indexed="81"/>
            <rFont val="Tahoma"/>
            <charset val="1"/>
          </rPr>
          <t>USUARIO:</t>
        </r>
        <r>
          <rPr>
            <sz val="9"/>
            <color indexed="81"/>
            <rFont val="Tahoma"/>
            <charset val="1"/>
          </rPr>
          <t xml:space="preserve">
PLAN CONSOLIDADA
</t>
        </r>
      </text>
    </comment>
  </commentList>
</comments>
</file>

<file path=xl/comments2.xml><?xml version="1.0" encoding="utf-8"?>
<comments xmlns="http://schemas.openxmlformats.org/spreadsheetml/2006/main">
  <authors>
    <author>PC06</author>
    <author>USUARIO</author>
  </authors>
  <commentList>
    <comment ref="Q15" authorId="0" shapeId="0">
      <text>
        <r>
          <rPr>
            <b/>
            <sz val="9"/>
            <color indexed="81"/>
            <rFont val="Segoe UI"/>
            <charset val="1"/>
          </rPr>
          <t>PC06:</t>
        </r>
        <r>
          <rPr>
            <sz val="9"/>
            <color indexed="81"/>
            <rFont val="Segoe UI"/>
            <charset val="1"/>
          </rPr>
          <t xml:space="preserve">
SÓ TEM NA PASTA 1 TERMO DE PRAZO 20 MESES
</t>
        </r>
      </text>
    </comment>
    <comment ref="R15" authorId="0" shapeId="0">
      <text>
        <r>
          <rPr>
            <b/>
            <sz val="9"/>
            <color indexed="81"/>
            <rFont val="Segoe UI"/>
            <charset val="1"/>
          </rPr>
          <t>PC06:</t>
        </r>
        <r>
          <rPr>
            <sz val="9"/>
            <color indexed="81"/>
            <rFont val="Segoe UI"/>
            <charset val="1"/>
          </rPr>
          <t xml:space="preserve">
NÃO TEM PLANILHA DE ADITIVO DE VALOR </t>
        </r>
      </text>
    </comment>
    <comment ref="U29" authorId="0" shapeId="0">
      <text>
        <r>
          <rPr>
            <b/>
            <sz val="9"/>
            <color indexed="81"/>
            <rFont val="Segoe UI"/>
            <charset val="1"/>
          </rPr>
          <t>PC06:</t>
        </r>
        <r>
          <rPr>
            <sz val="9"/>
            <color indexed="81"/>
            <rFont val="Segoe UI"/>
            <charset val="1"/>
          </rPr>
          <t xml:space="preserve">
FALTA BM 01 NA PASTA
</t>
        </r>
      </text>
    </comment>
    <comment ref="R32" authorId="1" shapeId="0">
      <text>
        <r>
          <rPr>
            <b/>
            <sz val="9"/>
            <color indexed="81"/>
            <rFont val="Tahoma"/>
            <charset val="1"/>
          </rPr>
          <t>USUARIO:</t>
        </r>
        <r>
          <rPr>
            <sz val="9"/>
            <color indexed="81"/>
            <rFont val="Tahoma"/>
            <charset val="1"/>
          </rPr>
          <t xml:space="preserve">
PLAN CONSOLIDADA
</t>
        </r>
      </text>
    </comment>
    <comment ref="X33" authorId="0" shapeId="0">
      <text>
        <r>
          <rPr>
            <b/>
            <sz val="9"/>
            <color indexed="81"/>
            <rFont val="Segoe UI"/>
            <charset val="1"/>
          </rPr>
          <t>PC06:</t>
        </r>
        <r>
          <rPr>
            <sz val="9"/>
            <color indexed="81"/>
            <rFont val="Segoe UI"/>
            <charset val="1"/>
          </rPr>
          <t xml:space="preserve">
VALOR MAIOR QUE O MEDIDO (2.844,72)
</t>
        </r>
      </text>
    </comment>
    <comment ref="X34" authorId="0" shapeId="0">
      <text>
        <r>
          <rPr>
            <b/>
            <sz val="9"/>
            <color indexed="81"/>
            <rFont val="Segoe UI"/>
            <charset val="1"/>
          </rPr>
          <t>PC06:</t>
        </r>
        <r>
          <rPr>
            <sz val="9"/>
            <color indexed="81"/>
            <rFont val="Segoe UI"/>
            <charset val="1"/>
          </rPr>
          <t xml:space="preserve">
SALDO DE 
300.00,00?</t>
        </r>
      </text>
    </comment>
    <comment ref="U36" authorId="0" shapeId="0">
      <text>
        <r>
          <rPr>
            <b/>
            <sz val="9"/>
            <color indexed="81"/>
            <rFont val="Segoe UI"/>
            <charset val="1"/>
          </rPr>
          <t>PC06:</t>
        </r>
        <r>
          <rPr>
            <sz val="9"/>
            <color indexed="81"/>
            <rFont val="Segoe UI"/>
            <charset val="1"/>
          </rPr>
          <t xml:space="preserve">
FALTA BM 02 21.024,08
</t>
        </r>
      </text>
    </comment>
    <comment ref="X47" authorId="0" shapeId="0">
      <text>
        <r>
          <rPr>
            <b/>
            <sz val="9"/>
            <color indexed="81"/>
            <rFont val="Segoe UI"/>
            <family val="2"/>
          </rPr>
          <t>PC06:</t>
        </r>
        <r>
          <rPr>
            <sz val="9"/>
            <color indexed="81"/>
            <rFont val="Segoe UI"/>
            <family val="2"/>
          </rPr>
          <t xml:space="preserve">
FALTA BM DE 6.791,90
</t>
        </r>
      </text>
    </comment>
    <comment ref="R58" authorId="0" shapeId="0">
      <text>
        <r>
          <rPr>
            <b/>
            <sz val="9"/>
            <color indexed="81"/>
            <rFont val="Segoe UI"/>
            <family val="2"/>
          </rPr>
          <t>PC06:</t>
        </r>
        <r>
          <rPr>
            <sz val="9"/>
            <color indexed="81"/>
            <rFont val="Segoe UI"/>
            <family val="2"/>
          </rPr>
          <t xml:space="preserve">
VERIFICAR ADITIVO DE 21.719,24
</t>
        </r>
      </text>
    </comment>
    <comment ref="X76" authorId="0" shapeId="0">
      <text>
        <r>
          <rPr>
            <b/>
            <sz val="9"/>
            <color indexed="81"/>
            <rFont val="Segoe UI"/>
            <family val="2"/>
          </rPr>
          <t>PC06:</t>
        </r>
        <r>
          <rPr>
            <sz val="9"/>
            <color indexed="81"/>
            <rFont val="Segoe UI"/>
            <family val="2"/>
          </rPr>
          <t xml:space="preserve">
VALOR PAGO ACIMA DO CONTRATADO MAIS ADITIVO PASSOU DA MODALIDADE
</t>
        </r>
      </text>
    </comment>
    <comment ref="U80" authorId="0" shapeId="0">
      <text>
        <r>
          <rPr>
            <b/>
            <sz val="9"/>
            <color indexed="81"/>
            <rFont val="Segoe UI"/>
            <family val="2"/>
          </rPr>
          <t>PC06:</t>
        </r>
        <r>
          <rPr>
            <sz val="9"/>
            <color indexed="81"/>
            <rFont val="Segoe UI"/>
            <family val="2"/>
          </rPr>
          <t xml:space="preserve">
FALTA BM 01 27.209,60
</t>
        </r>
      </text>
    </comment>
    <comment ref="U92" authorId="0" shapeId="0">
      <text>
        <r>
          <rPr>
            <b/>
            <sz val="9"/>
            <color indexed="81"/>
            <rFont val="Segoe UI"/>
            <charset val="1"/>
          </rPr>
          <t>PC06:</t>
        </r>
        <r>
          <rPr>
            <sz val="9"/>
            <color indexed="81"/>
            <rFont val="Segoe UI"/>
            <charset val="1"/>
          </rPr>
          <t xml:space="preserve">
VALOR PAGO A MAIOR
</t>
        </r>
      </text>
    </comment>
    <comment ref="U108" authorId="0" shapeId="0">
      <text>
        <r>
          <rPr>
            <b/>
            <sz val="9"/>
            <color indexed="81"/>
            <rFont val="Segoe UI"/>
            <charset val="1"/>
          </rPr>
          <t>PC06:</t>
        </r>
        <r>
          <rPr>
            <sz val="9"/>
            <color indexed="81"/>
            <rFont val="Segoe UI"/>
            <charset val="1"/>
          </rPr>
          <t xml:space="preserve">
LOCALIZAR ADITIVO 1 21.478,21
</t>
        </r>
      </text>
    </comment>
    <comment ref="V126" authorId="0" shapeId="0">
      <text>
        <r>
          <rPr>
            <b/>
            <sz val="9"/>
            <color indexed="81"/>
            <rFont val="Segoe UI"/>
            <charset val="1"/>
          </rPr>
          <t>PC06:</t>
        </r>
        <r>
          <rPr>
            <sz val="9"/>
            <color indexed="81"/>
            <rFont val="Segoe UI"/>
            <charset val="1"/>
          </rPr>
          <t xml:space="preserve">
SOLICITAR COMPROVANTE 3º TRIMESTRE ATLANTA
</t>
        </r>
      </text>
    </comment>
    <comment ref="V127" authorId="0" shapeId="0">
      <text>
        <r>
          <rPr>
            <b/>
            <sz val="9"/>
            <color indexed="81"/>
            <rFont val="Segoe UI"/>
            <charset val="1"/>
          </rPr>
          <t>PC06:</t>
        </r>
        <r>
          <rPr>
            <sz val="9"/>
            <color indexed="81"/>
            <rFont val="Segoe UI"/>
            <charset val="1"/>
          </rPr>
          <t xml:space="preserve">
SOLICITAR COMPROVANTE 3º TRIMESTRE FEJ
</t>
        </r>
      </text>
    </comment>
  </commentList>
</comments>
</file>

<file path=xl/sharedStrings.xml><?xml version="1.0" encoding="utf-8"?>
<sst xmlns="http://schemas.openxmlformats.org/spreadsheetml/2006/main" count="8631" uniqueCount="1629">
  <si>
    <t>OBRA OU SERVICO</t>
  </si>
  <si>
    <t>DESPESA NO PERIODO</t>
  </si>
  <si>
    <t>Nº DO CONTRATO</t>
  </si>
  <si>
    <t>UNIDADE:</t>
  </si>
  <si>
    <t>Em Andamento</t>
  </si>
  <si>
    <t>4.4.90.51</t>
  </si>
  <si>
    <t>REFERÊNCIA:</t>
  </si>
  <si>
    <t>CÓDIGO DA OBRA OU SERVICO</t>
  </si>
  <si>
    <r>
      <t xml:space="preserve">FASE </t>
    </r>
    <r>
      <rPr>
        <b/>
        <sz val="7"/>
        <rFont val="Arial"/>
        <family val="2"/>
      </rPr>
      <t>(PROJETO OU CONSTRUCÃO)</t>
    </r>
  </si>
  <si>
    <t>DESCRIÇÃO DA OBRA OU SERVIÇO</t>
  </si>
  <si>
    <t>SITUAÇÃO</t>
  </si>
  <si>
    <t>Nº DA LICITAÇÃO</t>
  </si>
  <si>
    <t>CÓDIGO DA DESPESA</t>
  </si>
  <si>
    <t>UNIDADE ORCAMENTÁRIA:</t>
  </si>
  <si>
    <t>EXERCÍCIO:</t>
  </si>
  <si>
    <t>Construção</t>
  </si>
  <si>
    <t>Projeto</t>
  </si>
  <si>
    <t>CÓDIGO DO PROG. DE TRABALHO</t>
  </si>
  <si>
    <t>ORIGEM DOS RECURSOS</t>
  </si>
  <si>
    <t>Rec. Próprio</t>
  </si>
  <si>
    <t>PREFEITURA MUNICIPAL DE SÃO LOURENÇO DA MATA</t>
  </si>
  <si>
    <t>SECRETARIA DE INFRA-ESTRUTURA</t>
  </si>
  <si>
    <t>MAPA DEMONSTRATIVO DE OBRAS E SERVIÇOS DE ENGENHARIA</t>
  </si>
  <si>
    <t>TOTAL DAS OBRAS DE 2009</t>
  </si>
  <si>
    <t>SECRETARIA MUNICIPAL DE INFRA-ESTRUTURA</t>
  </si>
  <si>
    <t>23</t>
  </si>
  <si>
    <t>CP - 01/2009</t>
  </si>
  <si>
    <t>Contratação de Empresa Especializada em Engenharia Sanitária, para Execução dos Serviços de Limpeza Urbana no Município de São Lourenço da Mata/PE</t>
  </si>
  <si>
    <t>Paralizada</t>
  </si>
  <si>
    <t>Não Iniciado</t>
  </si>
  <si>
    <t>001/2010</t>
  </si>
  <si>
    <t>OBRAS DE 2009:</t>
  </si>
  <si>
    <t>VALOR DO CONTRATO R$</t>
  </si>
  <si>
    <t>Não Contratada</t>
  </si>
  <si>
    <t>Concluído</t>
  </si>
  <si>
    <t>OBRAS DE 2011:</t>
  </si>
  <si>
    <t>Contratação de Empresa de Engenharia Para Execução de Pavimentação e Drenagem de Diversas Ruas do Loteamento Caiará, localizado no Município de São Lourenço da Mata/PE</t>
  </si>
  <si>
    <t>Contratação de Empresa de Engenharia Para Execução de Pavimentação e Drenagem de Diversas Ruas do Bairro de Nova Tiúma, localizado no Município de São Lourenço da Mata/PE</t>
  </si>
  <si>
    <t>003/2011</t>
  </si>
  <si>
    <t>004/2011</t>
  </si>
  <si>
    <t>001/2011</t>
  </si>
  <si>
    <t>002/2011</t>
  </si>
  <si>
    <t>Contratação de empresa de engenharia para recuperação de pavimento nas áreas danificadas pela compesa para realização de serviços de manutenção e expansão de redes e ramais prediais no município de São Lourenço da Mata, compreendendo restabilização de solo e remoção de bota fora, nos bairros do Centro, Vila do Reinado, Rosina Labanca, Parque Capibaribe, Nova Esperança, Alto Santo Antônio, Muribara, Loteamento Capibaribe, São João e São Paulo, Umuarama, Nova Tiúma, Bela Vista, Penedo, Beira-Rio, Chã Da Tábua e Etc.</t>
  </si>
  <si>
    <t>Contratação de Empresa Para Construção de Praça na Avenida Pedras Preciosas, Rosina Labanca.</t>
  </si>
  <si>
    <t>CV - 01-2011</t>
  </si>
  <si>
    <t>TP - 01/2011</t>
  </si>
  <si>
    <t>TP - 02/2011</t>
  </si>
  <si>
    <t>TP - 03/2011</t>
  </si>
  <si>
    <t>Iniciado</t>
  </si>
  <si>
    <t>TOTAL DAS OBRAS DE 2011</t>
  </si>
  <si>
    <t>Contratação de Empresa de Engenharia Para Execução de Complementação da Pavimentação em Revestimento Asfáltico e Drenagem da Avenida Miguel Arraes e Pavimentação da Rua Projetada Paralela à Nova Academia da Cidade, localizadas no Centro do Município de São Lourenço da Mata/PE</t>
  </si>
  <si>
    <t>005/2011</t>
  </si>
  <si>
    <t>TP - 04/2011</t>
  </si>
  <si>
    <t>Contratação de Empresa de Engenharia Para Execução de Recapeamento Asfáltico das Ruas Aracati, Ermirio Gomes da Silva, Batuíra, Itumbiara, Travessa Batuíra, Goiatuba e Travessa da Rua 10 de Novembro, Localizadas no Bairro Nova Esperança, Município de São Lourenço da Mata/PE</t>
  </si>
  <si>
    <t>TP - 05/2011</t>
  </si>
  <si>
    <t>Contratação de Empresa de Engenharia Para Construção da Escola do Loteamento Parque Metropolitano, localizado no Centro do Município de São Lourenço da Mata/PE</t>
  </si>
  <si>
    <t>TP - 06/2011</t>
  </si>
  <si>
    <t>006/2011</t>
  </si>
  <si>
    <t>007/2011</t>
  </si>
  <si>
    <t>CV - 09-2011</t>
  </si>
  <si>
    <t>CV - 10-2011</t>
  </si>
  <si>
    <t>008/2011</t>
  </si>
  <si>
    <t>009/2011</t>
  </si>
  <si>
    <t>CV - 11-2011</t>
  </si>
  <si>
    <t>010/2011</t>
  </si>
  <si>
    <t>Contratação de Empresa de Engenharia Para Execução dos Serviços de Conservação, Desobstrução e Limpeza de Canais e Canelatas.</t>
  </si>
  <si>
    <t>Contratação de Empresa Para Locação de Retro-escavadeira Para Execução de Serviços em Diversos Locais do  Município de São Lourenço da Mata-PE</t>
  </si>
  <si>
    <t>Contratação de Empresa de Engenharia Para Desmontagem de Estrutura Metálica do Viaduto do Parque Capibaribe.</t>
  </si>
  <si>
    <t>Contratação de empresa de engenharia para execução de pavimentação e drenagem da Rua Verdejante, Rua São Domingos e complementação da Rua Manoel Correia, localizadas no bairro da Nova Esperança, município de São Lourenço da Mata/PE</t>
  </si>
  <si>
    <t>Contratação de empresa de engenharia para execução de pavimentação e drenagem da Rua Pedra da Lua e complementação da pavimentação das Ruas Josefa Severina de Aquino e Apresentador Flávio Cavalcanti, localizadas no Loteamento Irineu Teixeira, município de São Lourenço da Mata/PE</t>
  </si>
  <si>
    <t>012/2011</t>
  </si>
  <si>
    <t>Contratação de empresa de engenharia para execução dos serviços de drenagem na Avenida Pedras Preciosas, localizada no Bairro da Rosina Labanca, município de São Lourenço da Mata-PE</t>
  </si>
  <si>
    <t>Contratação de empresa de engenharia para execução de pavimentação e drenagem de diversas ruas do Loteamento Parque Metropolitano, município de São Lourenço da Mata/PE.</t>
  </si>
  <si>
    <t>Contratação de empresa de engenharia para execução de implantação de melhoria de infraestrutura urbana, que consiste na recuperação de calçadas em diversas ruas do Centro do município de São Lourenço da Mata/PE</t>
  </si>
  <si>
    <t>Contratação de empresa de engenharia para execução de melhoria das condições viárias para redução de acidentes, que consiste na recuperação de calçadas e iluminação em diversas ruas do Centro do município de São Lourenço da Mata/PE</t>
  </si>
  <si>
    <t>015/2011</t>
  </si>
  <si>
    <t>Contratação de empresa para confecção e instalação de painel de platibanda na fachada do Hospital Petronila Campos, no município de São Lourenço da Mata/PE</t>
  </si>
  <si>
    <t>Contratação de empresa de engenharia para execução de pavimentação, recapeamento asfáltico e drenagem da Rua Coelho Muniz, Rua da Saudade e Rua Santa Terezinha, localizadas no Distrito de Matriz da Luz, município de São Lourenço da Mata/PE</t>
  </si>
  <si>
    <t>016/2011</t>
  </si>
  <si>
    <t>Contratação de empresa para locação de trator de esteira para execução de serviços de terraplenagem no lixão do município de São Lourenço da Mata/PE</t>
  </si>
  <si>
    <t>017/2011</t>
  </si>
  <si>
    <t>Contratação de empresa de engenharia para execução dos serviços de reforma da Praça do Diácono, localizada no distrito de Matriz da Luz, no município de São Lourenço da Mata/PE</t>
  </si>
  <si>
    <t>011/2011</t>
  </si>
  <si>
    <t>Contratação de empresa de engenharia para construção da Escola do Engenho Pixaó, localizada no distrito de Matriz da Luz, no município de São Lourenço da Mata/PE.</t>
  </si>
  <si>
    <t>018/2011</t>
  </si>
  <si>
    <t>Contratação de empresa de engenharia para execução dos serviços de Reforma da Sede da Secretaria de Saúde e do PAM, localizada na Rua Riachuelo, centro do município de São Lourenço da Mata/PE</t>
  </si>
  <si>
    <t>019/2011</t>
  </si>
  <si>
    <t>Contratação de Empresa  de Engenharia Para Execução dos Serviços de Construção da Praça do Loteamento Parque Metropolitano e Complemento da Construção da Praça da Rosina Labanca.</t>
  </si>
  <si>
    <t>CV - 12-2011</t>
  </si>
  <si>
    <t>TP - 07/2011</t>
  </si>
  <si>
    <t>TP - 08/2011</t>
  </si>
  <si>
    <t>TP - 09/2011</t>
  </si>
  <si>
    <t>TP - 10/2011</t>
  </si>
  <si>
    <t>TP - 11/2011</t>
  </si>
  <si>
    <t>CP - 01-2011</t>
  </si>
  <si>
    <t>CP - 02-2011</t>
  </si>
  <si>
    <t>CV - 15-2011</t>
  </si>
  <si>
    <t>CV - 16-2011</t>
  </si>
  <si>
    <t>CV - 17-2011</t>
  </si>
  <si>
    <t>CV - 18-2011</t>
  </si>
  <si>
    <t>CV - 19-2011</t>
  </si>
  <si>
    <t>013/2011</t>
  </si>
  <si>
    <t>014/2011</t>
  </si>
  <si>
    <t>020/2011</t>
  </si>
  <si>
    <t>021/2011</t>
  </si>
  <si>
    <t>022/2011</t>
  </si>
  <si>
    <t>023/2011</t>
  </si>
  <si>
    <t>Min. Cidades</t>
  </si>
  <si>
    <t>Min. Turismo</t>
  </si>
  <si>
    <t>Contratação de empresa de engenharia para execução de recuperação das estradas vicinais que liga São Lourenço da Mata / Matriz da Luz / Lajes, na Zona Rural do município de São Lourenço da Mata-PE</t>
  </si>
  <si>
    <t>Contratação de empresa para execução de estruturação urbana nas áreas de morros no município de São Lourenço da Mata, mediante a execução da obra de engenharia para prevenção a desastres, consistente na construção de muro de arrimo em solo-cimento (Rip-Rap), com drenagem superficial e passeio de proteção na Rua Papoulas, no Bairro de Penedo e construção de muro de arrimo em pedra rachão, com drenagem superficial e passeio de proteção na 5.º Travessa Machado de Assis, no bairro da Várzea Fria, ambas na cidade de São Lourenço da Mata-PE</t>
  </si>
  <si>
    <t>Contratação de empresa para execução dos serviços de reforma da praça da Igreja de Santo Antônio, localizada no bairro de Tiúma, município de São Lourenço da Mata-PE</t>
  </si>
  <si>
    <t>Contratação de empresa de engenharia para recuperação do sistema de abastecimento de água do Distrito de Lajes, localizado no município de São Lourenço da Mata/PE</t>
  </si>
  <si>
    <t>Contratação de empresa para execução de iluminação decorativa / pública do viaduto Josué Pereira, que liga o centro do município ao bairro do Parque Capibaribe, e Iluminação Pública na PE-005 (Trecho 01: da Purina a UPA; Trecho 02: da Casa de Saúde a Entrada do Bairro de Umuarama), município de São Lourenço da Mata-PE</t>
  </si>
  <si>
    <t>Contratação de empresa para confecção, montagem e instalação de guarda corpo metálica do Viaduto Josué Pereira, que liga o Centro do município ao bairro do Parque Capibaribe, município de São Lourenço da Mata-PE</t>
  </si>
  <si>
    <t>Contratação de empresa de engenharia para execução dos serviços de reforma da Praça da Rua 75, no Parque Capibaribe, localizado no município de São Lourenço da Mata/PE.</t>
  </si>
  <si>
    <t>Contratação de empresa de engenharia para execução de serviços de reforma de diversas Escolas da Rede Municipal de Ensino do município de São Lourenço da Mata/PE.</t>
  </si>
  <si>
    <t>024/2011</t>
  </si>
  <si>
    <t>Contratação de empresa de engenharia para execução de elaboração de projetos de canalização de córregos à céu aberto no município de São Lourenço da Mata-PE.</t>
  </si>
  <si>
    <t>Contratação de empresa de engenharia para execução de pavimentação e drenagem de diversas ruas do bairro da Rosina Labanca, município de São Lourenço da Mata/PE.</t>
  </si>
  <si>
    <t>Contratação de empresa de engenharia para execução de obras de contenção de encostas em áreas de riscos no município de São Lourenço da Mata/PE</t>
  </si>
  <si>
    <t>Contratação de empresa de engenharia para execução de pavimentação e drenagem de diversas ruas dos bairros da Muribara e Barro Vermelho, município de São Lourenço da Mata/PE</t>
  </si>
  <si>
    <t>Contratação de empresa de engenharia para construção da Escola do Loteamento Recanto de Aldeia, localizada na Estrada Severino Sales, Bairro de Aldeia, no município de São Lourenço da Mata/PE</t>
  </si>
  <si>
    <t>026/2011</t>
  </si>
  <si>
    <t>Contratação de empresa de engenharia para execução dos serviços de reforma de diversas praças do município de São Lourenço da Mata/PE</t>
  </si>
  <si>
    <t>Contratação de empresa de engenharia para execução de pavimentação e drenagem de diversas ruas dos bairros de Umuarama e Várzea Fria, município de São Lourenço da Mata/PE</t>
  </si>
  <si>
    <t>TP - 012/2011</t>
  </si>
  <si>
    <t>TP - 013/2011</t>
  </si>
  <si>
    <t>TP - 014/2011</t>
  </si>
  <si>
    <t>CV - 020/2011</t>
  </si>
  <si>
    <t>TP - 020/2011</t>
  </si>
  <si>
    <t>TP - 015/2011</t>
  </si>
  <si>
    <t>TP - 016/2011</t>
  </si>
  <si>
    <t>CV - 022/2011</t>
  </si>
  <si>
    <t>CV - 023/2011</t>
  </si>
  <si>
    <t>CV - 024/2011</t>
  </si>
  <si>
    <t>CV - 026/2011</t>
  </si>
  <si>
    <t>TP - 017/2011</t>
  </si>
  <si>
    <t>CP - 003/2011</t>
  </si>
  <si>
    <t>TP - 018/2011</t>
  </si>
  <si>
    <t>TP - 019/2011</t>
  </si>
  <si>
    <t>Rec. Sec. De Agric.</t>
  </si>
  <si>
    <t>Rec. Fidem</t>
  </si>
  <si>
    <t>Min. Integração</t>
  </si>
  <si>
    <t>Projetos</t>
  </si>
  <si>
    <t>025/2011</t>
  </si>
  <si>
    <t>027/2011</t>
  </si>
  <si>
    <t>028/2011</t>
  </si>
  <si>
    <t>029/2011</t>
  </si>
  <si>
    <t>030/2011</t>
  </si>
  <si>
    <t>031/2011</t>
  </si>
  <si>
    <t>032/2011</t>
  </si>
  <si>
    <t>033/2011</t>
  </si>
  <si>
    <t>034/2011</t>
  </si>
  <si>
    <t>035/2011</t>
  </si>
  <si>
    <t>036/2011</t>
  </si>
  <si>
    <t>037/2011</t>
  </si>
  <si>
    <t>038/2011</t>
  </si>
  <si>
    <t>Contratação de Empresa de Engenharia Para Execução de Pavimentação e Drenagem da Rua São Domingos e Complementação das Ruas Manoel Correia e Jaraguá, localizadas no Bairro da Nova Esperança, Município de São Lourenço da Mata/PE</t>
  </si>
  <si>
    <t>Contratação de Empresa de Engenharia Para Execução de Pavimentação e Drenagem de Diversas Ruas do Loteamento São João e São Paulo, Município de São Lourenço da Mata/PE</t>
  </si>
  <si>
    <t>007/2012</t>
  </si>
  <si>
    <t>002/2012</t>
  </si>
  <si>
    <t>Contratação de Empresa de Engenharia Para Execução de Recapeamento Asfáltico em Diversas Ruas do Bairro Nova Esperança, Rua das Flores, localizada no Loteamento Caiará e Rua das Americanas localizada no Loteamento Parque Metropolitano, Município de São Lourenço da Mata/PE</t>
  </si>
  <si>
    <t>008/2012</t>
  </si>
  <si>
    <t>Contratação de Empresa de Engenharia Para Execução de Pavimentação e Drenagem de Diversas Ruas do Loteamento Vila Dourada, Município de São Lourenço da Mata/PE</t>
  </si>
  <si>
    <t>Contratação de Empresa de Engenharia Para Execução de Recapeamento Asfáltico e Sinalização de Diversas Ruas do Bairro Parque Capibaribe, Município de São Lourenço da Mata/PE</t>
  </si>
  <si>
    <t>010/2012</t>
  </si>
  <si>
    <t>Contratação de Empresa de Engenharia Para Execução de Recapeamento Asfáltico de Diversas Ruas dos Bairros Nova Esperança e Alto Santo Antônio, Município de São Lourenço da Mata/PE</t>
  </si>
  <si>
    <t>Contratação de Empresa de Engenharia Para Execução de Pavimentação e Drenagem de Diversas Ruas do Loteamento Maria Helena de Morais, Município de São Lourenço da Mata/PE</t>
  </si>
  <si>
    <t>CV - 001/2012</t>
  </si>
  <si>
    <t>TP - 001/2012</t>
  </si>
  <si>
    <t>TP - 002/2012</t>
  </si>
  <si>
    <t>TP - 003/2012</t>
  </si>
  <si>
    <t>CP - 001/2012</t>
  </si>
  <si>
    <t>TP - 004/2012</t>
  </si>
  <si>
    <t>TP - 006/2012</t>
  </si>
  <si>
    <t>OBRAS DE 2012:</t>
  </si>
  <si>
    <t>TOTAL DAS OBRAS DE 2012</t>
  </si>
  <si>
    <t>Contratação de Empresa de Engenharia Para Construção de Ossuários e Gavetas nos Cemitérios do Centro, de Matriz da Luz e de Tiúma, Localizados no Município de São Lourenço da Mata-PE.</t>
  </si>
  <si>
    <t>Contratação de Empresa de Engenharia Para Execução de Pavimentação e Drenagem de Diversas Ruas do Loteamento Parque Metropolitano, Município de São Lourenço da Mata/PE</t>
  </si>
  <si>
    <t>Contratação de Empresa de Engenharia Para Execução de Pavimentação e Drenagem de Diversas Ruas do Bairro da Chã da Tábua, Município de São Lourenço da Mata/PE</t>
  </si>
  <si>
    <t>Contratação de Empresa de Engenharia Para Execução de Construção da Praça dos Esportes e da Cultura – PEC, Modelo 700m2, localizada na Avenida Pedro Correia, Bairro da Chã da Tábua, no Município de São Lourenço da Mata/PE</t>
  </si>
  <si>
    <t>Contratação de Empresa de Engenharia Para Execução de Recapeamento Asfáltico das Avenidas São Bernardo, Duque de Caxias e Assembléia de Deus, respectivamente localizadas nos Bairros de São João e São Paulo e Várzea Fria, município de São Lourenço da Mata/PE</t>
  </si>
  <si>
    <t>Contratação de Empresa de Engenharia Para Execução dos Serviços de Reforma dos PSF’s do Município de São Lourenço da Mata-PE</t>
  </si>
  <si>
    <t>Contratação de Empresa de Engenharia Para Construção de Quadras Poliesportivas nas Escolas Henrique de Queiroz, Paulo Gomes e Francisco Tavares de Moura, respectivamente localizadas nos bairros de Constantino, Penedo e Lajes, município de São Lourenço da Mata-PE.</t>
  </si>
  <si>
    <t>012/2012</t>
  </si>
  <si>
    <t>Contratação de Empresa de Engenharia Para Execução de Pavimentação e Drenagem das Ruas Paranavaí e Travessa Júlia Gomes, respectivamente localizadas no Centro e na Vila do Reinado, município de São Lourenço da Mata-PE</t>
  </si>
  <si>
    <t>Contratação de Empresa de Engenharia Para Execução de Recapeamento Asfáltico da Rua Francisco Alves, localizada no Loteamento São João e São Paulo, Município de São Lourenço da Mata/PE</t>
  </si>
  <si>
    <t>Contratação de Empresa de Engenharia Para Execução de Recapeamento Asfáltico da Rua Imperial, localizada no Loteamento São João e São Paulo e Rua Machado de Assis, localizada no Bairro de Umuarama, município de São Lourenço da Mata/PE</t>
  </si>
  <si>
    <t>CV - 007/2012</t>
  </si>
  <si>
    <t>TP - 008/2012</t>
  </si>
  <si>
    <t>TP - 009/2012</t>
  </si>
  <si>
    <t>CP - 002/2012</t>
  </si>
  <si>
    <t>TP - 011/2012</t>
  </si>
  <si>
    <t>CV - 008/2012</t>
  </si>
  <si>
    <t>CV - 011/2012</t>
  </si>
  <si>
    <t>CV - 012/2012</t>
  </si>
  <si>
    <t>CV - 013/2012</t>
  </si>
  <si>
    <t>TP - 012/2012</t>
  </si>
  <si>
    <t>Min. da Cultura</t>
  </si>
  <si>
    <t>VALOR PAGO NO PERÍODO R$</t>
  </si>
  <si>
    <t>VALOR PAGO ATÉ O PERÍODO R$</t>
  </si>
  <si>
    <t>001/2012</t>
  </si>
  <si>
    <t>003/2012</t>
  </si>
  <si>
    <t>004/2012</t>
  </si>
  <si>
    <t>005/2012</t>
  </si>
  <si>
    <t>006/2012</t>
  </si>
  <si>
    <t>015/2012</t>
  </si>
  <si>
    <t>016/2012</t>
  </si>
  <si>
    <t>017/2012</t>
  </si>
  <si>
    <t>018/2012</t>
  </si>
  <si>
    <t>019/2012</t>
  </si>
  <si>
    <t>020/2012</t>
  </si>
  <si>
    <t>021/2012</t>
  </si>
  <si>
    <t>022/2012</t>
  </si>
  <si>
    <t>023/2012</t>
  </si>
  <si>
    <t>024/2012</t>
  </si>
  <si>
    <t>025/2012</t>
  </si>
  <si>
    <t>026/2012</t>
  </si>
  <si>
    <t>027/2012</t>
  </si>
  <si>
    <t>028/2012</t>
  </si>
  <si>
    <t>Concluída</t>
  </si>
  <si>
    <t>Iniciada</t>
  </si>
  <si>
    <t>EM Andamento</t>
  </si>
  <si>
    <t>Contratação de Empresa de Engenharia Para Execução de Pavimentação e Drenagem de Diversas Ruas no Bairro da Vila Rica e Vila Dourada, localizada no Município de São Lourenço da Mata-PE.</t>
  </si>
  <si>
    <t>Rec. Próprios</t>
  </si>
  <si>
    <t>Contratação de Empresa de Engenharia Para Construção de Muros Arrimo em Diversos Locais do Município de São Lourenço da Mata-PE.</t>
  </si>
  <si>
    <t>Contratação de Empresa de Engenharia Para Execução de Reforma da Praça do Conjunto Residencial Francisca de Paula, localizada no  Centro do Município de São Lourenço da Mata-PE.</t>
  </si>
  <si>
    <t>Contratação de Serviços de Consultoria, Destinados a Realização de Estudos do Insumo de Energia Elétrica no Município de São Lourenço da Mata-PE</t>
  </si>
  <si>
    <t>Contratação de Empresa de Engenharia Para Execução de Recapeamento Asfáltico das Ruas Leopoldina Correia de Araujo, Renato Carneiro da Cunha, Vidal de Negreiros, Vitória e Marcos Pessoa, localizadas No Bairro Capibaribe, município de São Lourenço da Mata/PE</t>
  </si>
  <si>
    <t>Convênio SETRA-PE</t>
  </si>
  <si>
    <t>Contratação de Empresa de Engenharia Para Construção da Praça da Beira-Rio, localizada no Bairro da Beira-Rio, município de São Lourenço da Mata/PE</t>
  </si>
  <si>
    <t>Convênio M. Cidades</t>
  </si>
  <si>
    <t>Contratação de Empresa de Engenharia Para Execução de Pavimentação e Drenagem de Diversas Ruas dos Bairros da Muribara, Município de São Lourenço da Mata/PE</t>
  </si>
  <si>
    <t>Contratação de Empresa de Engenharia Para Execução de Pavimentação e Drenagem da Rua Barreiros, Localizada na Vila do Reinado, localizada no Município de São Lourenço da Mata-PE.</t>
  </si>
  <si>
    <t>Contratação de Empresa de Engenharia Para Construção da Escola Infantil, localizada na Rua Imperial, Bairro de São João e São Paulo, no Município de São Lourenço da Mata/PE</t>
  </si>
  <si>
    <t>Contratação de Empresa de Engenharia Para Construção de Coberta em Estrutura Metálica no Mercado Público de Tiúma, localizado no município de São Lourenço da Mata-PE.</t>
  </si>
  <si>
    <t>Contratação de Empresa de Engenharia Para Execução de Pavimentação e Drenagem das Ruas Maria Estela Amazonas e Dário Luiz da Silva, Localizada no Bairro da Roina Labanca, localizado no Município de São Lourenço da Mata-PE.</t>
  </si>
  <si>
    <t>Contratação de Empresa de Engenharia Para Execução dos Serviços de Drenagem no Loteamento Helena de Morais.</t>
  </si>
  <si>
    <t>Contratação de Empresa de Engenharia Para Execução dos Serviços de Urbanização da Praça da Ponte Viaduto Josué Pereira e Intersecção da PE-005 no Trecho da Entrada de Muribara, localizados neste município.</t>
  </si>
  <si>
    <t>Contratação de Empresa de Engenharia Para Execução de Recapeamento Asfáltico de Diversas Ruas do Nova Esperança, Muribara, Centro, Rosina Labanca e Helena de Morais.</t>
  </si>
  <si>
    <t>Contratação de Empresa de Engenharia Para Execução dos Serviços de Reforma de Diversas Praças deste Município.</t>
  </si>
  <si>
    <t>Contratação de empresa de Engenharia Para Execução dos Serviços de Urbanização da Praça da Bela Vista, localizada no município de São Lourenço da Mata-PE.</t>
  </si>
  <si>
    <t>Contratação de Empresa de Engenharia Para Execução de Pavimentação e Drenagem da 1.° Travessa Senador José Ermirio de Moraes, 2.° Travessa Senador José Ermirio de Moraes e 3.° Travessa Senador José Ermirio de Moraes, localizadas no Bairro de Tiúma, município de São Lourenço da Mata-PE.</t>
  </si>
  <si>
    <t>Contratação de Empresa de Engenharia Para Implantação do Sistema de Monitoramento CFTV-IP a Serem Instaladas em Vias Públicas do Município de São Lourenço da Mata /PE</t>
  </si>
  <si>
    <t>TP - 014/2012</t>
  </si>
  <si>
    <t>029/2012</t>
  </si>
  <si>
    <t>CV - 015/2012</t>
  </si>
  <si>
    <t>CV - 016/2012</t>
  </si>
  <si>
    <t>CV - 017/2012</t>
  </si>
  <si>
    <t>Serviço</t>
  </si>
  <si>
    <t>TP - 015/2012</t>
  </si>
  <si>
    <t>030/2012</t>
  </si>
  <si>
    <t>031/2012</t>
  </si>
  <si>
    <t>032/2012</t>
  </si>
  <si>
    <t>033/2012</t>
  </si>
  <si>
    <t>034/2012</t>
  </si>
  <si>
    <t>035/2012</t>
  </si>
  <si>
    <t>036/2012</t>
  </si>
  <si>
    <t>TP - 017/2012</t>
  </si>
  <si>
    <t>CP - 003/2012</t>
  </si>
  <si>
    <t>TP - 018/2012</t>
  </si>
  <si>
    <t>CP - 004/2012</t>
  </si>
  <si>
    <t>CV - 020/2012</t>
  </si>
  <si>
    <t>TP - 019/2012</t>
  </si>
  <si>
    <t>CV - 021/2012</t>
  </si>
  <si>
    <t>CV - 022/2012</t>
  </si>
  <si>
    <t>CV - 023/2012</t>
  </si>
  <si>
    <t>TP - 021/2012</t>
  </si>
  <si>
    <t>CV - 024/2012</t>
  </si>
  <si>
    <t>CV - 025/2012</t>
  </si>
  <si>
    <t>CV - 026/2012</t>
  </si>
  <si>
    <t>CV - 027/2012</t>
  </si>
  <si>
    <t>037/2012</t>
  </si>
  <si>
    <t>038/2012</t>
  </si>
  <si>
    <t>039/2012</t>
  </si>
  <si>
    <t>040/2012</t>
  </si>
  <si>
    <t>041/2012</t>
  </si>
  <si>
    <t>042/2012</t>
  </si>
  <si>
    <t>043/2012</t>
  </si>
  <si>
    <t>044/2012</t>
  </si>
  <si>
    <t>045/2012</t>
  </si>
  <si>
    <t>047/2012</t>
  </si>
  <si>
    <t>048/2012</t>
  </si>
  <si>
    <t>049/2012</t>
  </si>
  <si>
    <t>050/2012</t>
  </si>
  <si>
    <t>051/2012</t>
  </si>
  <si>
    <t>052/2012</t>
  </si>
  <si>
    <t>Convênio IPA</t>
  </si>
  <si>
    <t>CV - 028/2012</t>
  </si>
  <si>
    <t>CV - 029/2012</t>
  </si>
  <si>
    <t>053/2012</t>
  </si>
  <si>
    <t>Contratação de empresa de Engenharia Para Execução dos Serviços de Construção da Praça do Posto de Saúde de Matriz da Luz, localizada no município de São Lourenço da Mata-PE.</t>
  </si>
  <si>
    <t>Contratação de Empresa de Engenharia Para Execução de Pavimentação e Drenagem da Rua Nilo Peçanha, localizada no Loteamento Vale Verde de Progresso, localizado no Município de São Lourenço da Mata-PE</t>
  </si>
  <si>
    <t>Contratação de Empresa de Engenharia Para Construção de uma Ponte de Concreto Armado Com Pilares em Alvenaria em Pedra Rachão na Rua Agostinho Rodrigues, Localizada no Bairro do Caiará, município de São Lourenço da Mata-PE.</t>
  </si>
  <si>
    <t>Contratação de Empresa de Engenharia Para Execução dos Serviços de Reforma nas Escolas Ministro Apolônio Sales, Herminio Moreira Dias e Dulce Cândida Acioli, localizadas no Centro do município de São Lourenço da Mata-PE</t>
  </si>
  <si>
    <t>CV - 030/2012</t>
  </si>
  <si>
    <t>CV - 031/2012</t>
  </si>
  <si>
    <t>CV - 032/2012</t>
  </si>
  <si>
    <t>CP - 005/2012</t>
  </si>
  <si>
    <t>054/2012</t>
  </si>
  <si>
    <t>055/2012</t>
  </si>
  <si>
    <t>056/2012</t>
  </si>
  <si>
    <t>057/2012</t>
  </si>
  <si>
    <t>Convênio FNDE</t>
  </si>
  <si>
    <t>Errado no BM</t>
  </si>
  <si>
    <t>Contratação de Empresa de Engenharia Para Execução de Pavimentação e Drenagem das Ruas Maria Aline de Santana e Elis Regina, localizadas no Bairro da Bela Vista, município de São Lourenço da Mata-PE.</t>
  </si>
  <si>
    <t>Paralizado</t>
  </si>
  <si>
    <t>004/2013</t>
  </si>
  <si>
    <t>005/2013</t>
  </si>
  <si>
    <t>OBRAS DE 2013:</t>
  </si>
  <si>
    <t>CP - 002/2013</t>
  </si>
  <si>
    <t>Execução de Reforma e Modernização do Ginásio de Esporte - O Pereirão - no Mun. de São lourenço da Mata/PE</t>
  </si>
  <si>
    <t>TOTAL DAS OBRAS DE 2013</t>
  </si>
  <si>
    <t>CP 003/2013</t>
  </si>
  <si>
    <t>018/2013</t>
  </si>
  <si>
    <t>016/2013</t>
  </si>
  <si>
    <t>Não Contr.</t>
  </si>
  <si>
    <t>Convênio</t>
  </si>
  <si>
    <t>020/2013</t>
  </si>
  <si>
    <t>TP 003/2013</t>
  </si>
  <si>
    <t>Contratação de Empresa de Engenharia Para Locação de Trator de Esteira para Execução de Serviços de Terraplanagemno Lixão do Município de São Lourenço da Mata-PE</t>
  </si>
  <si>
    <t>TP 005/2013</t>
  </si>
  <si>
    <t>024/2013</t>
  </si>
  <si>
    <t>Contratação de Empresa de Engenharia Para Retirada e Implantação de Conjunto de Luminárias Pública tipo LED 110W, bem como Fornecimento de Materiais para Melhoria/Eficiência do Sistema de Iluminação Pública nos Trechos da Av. Dr. Francisco Correia e Pedro Correia no Município de São Lourenço da Mata/PE</t>
  </si>
  <si>
    <t>TP 006/2013</t>
  </si>
  <si>
    <t>026/2013</t>
  </si>
  <si>
    <t>028/2013</t>
  </si>
  <si>
    <t>029/2013</t>
  </si>
  <si>
    <t>030/2013</t>
  </si>
  <si>
    <t>CIAL</t>
  </si>
  <si>
    <t>CAEL</t>
  </si>
  <si>
    <t>FRF</t>
  </si>
  <si>
    <t>ESSE</t>
  </si>
  <si>
    <t>CASAARTE</t>
  </si>
  <si>
    <t>METROPOLE</t>
  </si>
  <si>
    <t>CC ESTRADA</t>
  </si>
  <si>
    <t>PRESSA</t>
  </si>
  <si>
    <t>INGAZEIRA</t>
  </si>
  <si>
    <t>SANTA</t>
  </si>
  <si>
    <t>DELPHI</t>
  </si>
  <si>
    <t>GTA</t>
  </si>
  <si>
    <t>SERVITIUM</t>
  </si>
  <si>
    <t>SENTRA</t>
  </si>
  <si>
    <t>032/2013</t>
  </si>
  <si>
    <t>TP 009/2013</t>
  </si>
  <si>
    <t>034/2013</t>
  </si>
  <si>
    <t>2º TRIMESTRE</t>
  </si>
  <si>
    <t>3º TRIMESTRE</t>
  </si>
  <si>
    <t>Contratação de Empresa de Engenharia ParaREFORMA DAS ESCOLAS  MUNICIPAIS: HERMINIO MOREIRA DIAS, ESCOLA JOAQUIM DE BRITO, ESCOLA CARMELA ORRICO, ESCOLA ROSINA LABANCA, ESCOLA SANTA ROSA, ESCOLA DR. AUGUSTO LUCENA, ESCOLA ALFREDO DIAS DE OLIVEIRA, ESCOLA SEVERINO SALES, ESCOLA M. ANTONIO CRECÊNCIO, ESCOLA PADRE JOÃO BARBALHO, ESCOLA PROFº AMARO, ESCOLA JORNALISTA CRISTINA TAVARES, ESCOLA CLETO CAMPELO, ESCOLA CLETO CAMPELO ANEXO E ESCOLA APOLÔNIO SALES, NO MUNICÍPIO DE SÃO LOURENÇO DA MATA/PE</t>
  </si>
  <si>
    <t>4º TRIMESTRE</t>
  </si>
  <si>
    <t>Contratação de Empresa de Engenharia Para Construção da Escola na Avenida 02, do Parque Capibaribe, no Município de São Lourenço da Mata/PE</t>
  </si>
  <si>
    <t>Contratação de Empresa de Engenharia Para Construção de uma  Escola no Engenho Pixaó, Localizado em Matriz da Luz, no Município de São Lourenço da Mata/PE</t>
  </si>
  <si>
    <t>Contratação de Empresa de Engenharia ParaExecução de Pavimentação e Drenagem da Rua Antilha, Rua Jamaica, Rua Barbados, Rua Barbados 02, Rua Havaí, Rua Aruba, Travessa da Rua Aruba, Rua Marajó, Rua Malina, Rua Tobago, Rua Belo Jardim, Rua Carpina, Rua Suriname, Rua Topázio e Rua Correntes, Localizados no Bairro Chã da Tábua, no Município de São Lourenço da Mata/PE</t>
  </si>
  <si>
    <t>Contratação de Empresa de Engenharia Para Execução de Pavimentação e Drenagem das Ruas Professora Rosa Lima e Santa Terezinha Localizadas em Matriz da Luz, e Pavimentação, Drenagem e Recuperação de Calçadas em 10 Ruas do Loteamento Francisco de Paula, no Município de São Lourenço da Mata/PE</t>
  </si>
  <si>
    <t>Contratação de Empresa de Engenharia Para Reforma no Hospital Petronila Campos, Localizado no Parque Capibaribe no Município de São Lourenço da Mata/PE</t>
  </si>
  <si>
    <t>035/2013</t>
  </si>
  <si>
    <t>036/2013</t>
  </si>
  <si>
    <t>037/2013</t>
  </si>
  <si>
    <t>039/2013</t>
  </si>
  <si>
    <t>040/2013</t>
  </si>
  <si>
    <t>041/2013</t>
  </si>
  <si>
    <t>042/2013</t>
  </si>
  <si>
    <t>043/2013</t>
  </si>
  <si>
    <t>1º TRIMESTRE</t>
  </si>
  <si>
    <t>CV 008/2013</t>
  </si>
  <si>
    <t>TP 011/2013</t>
  </si>
  <si>
    <t>TP 012/2013</t>
  </si>
  <si>
    <t>TP 013/2013</t>
  </si>
  <si>
    <t>CV 011/2013</t>
  </si>
  <si>
    <t>TP 014/2013</t>
  </si>
  <si>
    <t>665.653.39</t>
  </si>
  <si>
    <t>Contratação de Empresa de Engenharia Para Recapeamento Asfáltico em Diversas Ruas dos Bairros Nova Esperança e Alto Santo Antonio no Município de São Lourenço da Mata/PE</t>
  </si>
  <si>
    <t>Contratação de Empresa de Engenharia Para Execução dos Serviços de  Urbanização das Calçadas do Centro do Município de São Lourenço da Mata/PE</t>
  </si>
  <si>
    <t>REAL</t>
  </si>
  <si>
    <t>VIEGAS</t>
  </si>
  <si>
    <t>AGIL</t>
  </si>
  <si>
    <t>ADITIVO</t>
  </si>
  <si>
    <t>TP 016/2012</t>
  </si>
  <si>
    <t>CV 014/2013</t>
  </si>
  <si>
    <t>Contratação de Empresa de Engenharia Para Construção do Consultório Médico e Odontológico no Loteamento Recanto de Aldeia, No Município de São lourenço da Mata-PE</t>
  </si>
  <si>
    <t>Contratação de Empresa de Engenharia para Serviços de Pavimentação e Drenagem na Rua Frei Damião, Rua das Peras, 1ª Travessa da Rua Frei Damião, 2ª Travessa da Rua Frei Damião, 3ª Travessa da Rua Frei Damião e Rua São João, do Loteamento Helena de Morais em Tiúma, no Município de São Lourenço da Mata/PE</t>
  </si>
  <si>
    <t>003/2014</t>
  </si>
  <si>
    <t>005/2014</t>
  </si>
  <si>
    <t>006/2014</t>
  </si>
  <si>
    <t>TP 002/2014</t>
  </si>
  <si>
    <t>007/2014</t>
  </si>
  <si>
    <t>Contratação de Empresa de Engenharia Para Reforma da Secretaria de Educação, localizada no Centro do Município de São Lourenço da Mata/PE</t>
  </si>
  <si>
    <t>contratação de empresa de engenharia para Execução de Serviços de Construção de Bueiros Tubulares de 1,00M  e Construção de Ponta de Ala no Distrito de Matriz da Luz na Área do Engenho Santa Rosa no Município de São Lourenço da Mata/PE</t>
  </si>
  <si>
    <t>008/2014</t>
  </si>
  <si>
    <t>009/2014</t>
  </si>
  <si>
    <t>010/2014</t>
  </si>
  <si>
    <t>011/2014</t>
  </si>
  <si>
    <t>CV 001/2014</t>
  </si>
  <si>
    <t>CV 002/2014</t>
  </si>
  <si>
    <t>DI 002/2014</t>
  </si>
  <si>
    <t>DI 003/2014</t>
  </si>
  <si>
    <t>4.4.90.52</t>
  </si>
  <si>
    <t>4.4.90.53</t>
  </si>
  <si>
    <t>4.4.90.55</t>
  </si>
  <si>
    <t>4.4.90.56</t>
  </si>
  <si>
    <t>4.4.90.57</t>
  </si>
  <si>
    <t>4.4.90.58</t>
  </si>
  <si>
    <t>4.4.90.60</t>
  </si>
  <si>
    <t>559.602,26</t>
  </si>
  <si>
    <t>145.656,16</t>
  </si>
  <si>
    <t>27.555,61</t>
  </si>
  <si>
    <t xml:space="preserve">3.846,72 </t>
  </si>
  <si>
    <t>Janeiro/2014 a  Jun/2014</t>
  </si>
  <si>
    <t>OBRAS DE 2014:</t>
  </si>
  <si>
    <t>Contratação de Empresa de Engenharia Para Pavimentação e Drenagem na Rua Frei Caneca, Localizada no Centro do Município de São Lourenço da Mata/PE</t>
  </si>
  <si>
    <t>Contratação de Empresa de Engenharia Para Serviços de Terraplenagem na Rua Brasil Localizada no Loteamento Recanto de Aldeia, Acesso do Aterro Controlado Localizado em Chã da Tábua, Rua Epitácio Pessoa Localizada em Penedo, Rua José Mariano Localizada no Pixete, Rua Célia Pereira Campelo e Rua Pedra da Lua Localizada no Loteamento Irineu Teixeira, e Rua Agostinho Rodrigues Localizada no Loteamento Caiará no Município de São Lourenço da Mata/PE</t>
  </si>
  <si>
    <t>Contratação de Empresa de Engenharia Para Contenção de Encontas e Drenagens, Av. Dr. Francisco Correia, Rua São Bernardo, Rua Gil Maranhão, Av. 01, Rua João Carvalho, Av. Dr. Belmínio Correia, Av. Dr. Francisco Correia, Rua Manoel Correia, Rua Quinze de Novembro, Rua Amazonas, Rua Santa Terezinha, Rua Nova Esperança, no  Município de São Lourenço da Mata/PE</t>
  </si>
  <si>
    <t>Contratação de Empresa de Engenharia Para  Execução  de Recapeamento Asfáltico e Sinalização em Diversas Ruas do Município de São Lourenço da Mata/PE</t>
  </si>
  <si>
    <t>Pavimentação e Drenagem de Diversas Ruas dos Bairros: Nova Esperança, Nova Tiúma, Vila Rica, Loteamento Grande Recife, Penedo, Muribara e Limpeza e Drenagem na Rua Uruguai localizada no Centro do Município de São Lourenço da Mata/PE</t>
  </si>
  <si>
    <t>Contratação de Empresa de Engenharia Para Construção da Praça na Avenida Pedro Correia, Localizada no Centro do Município de São Lourenço da Mata/PE</t>
  </si>
  <si>
    <t>Contratação de Empresa de Engenharia Para Execução dos Serviços de Conservação, Desobstrução e Limpeza de Canais e Canaletas em Diversos Bairros do Município de São Lourenço da Mata-PE</t>
  </si>
  <si>
    <r>
      <t>contratação de empresa de engenharia para</t>
    </r>
    <r>
      <rPr>
        <sz val="6"/>
        <rFont val="Arial"/>
        <family val="2"/>
      </rPr>
      <t xml:space="preserve"> Retelhamento na Coberta do Hospital Petronila Campos no  Município de São Lourenço da Mata/PE</t>
    </r>
  </si>
  <si>
    <r>
      <t xml:space="preserve">contratação de empresa de engenharia para </t>
    </r>
    <r>
      <rPr>
        <sz val="6"/>
        <rFont val="Arial"/>
        <family val="2"/>
      </rPr>
      <t>Serviços de Limpeza do Açude no Distrito de Lajes no Município de São Lourenço da Mata/PE</t>
    </r>
  </si>
  <si>
    <t>Contratação de empresa de engenharia para Construção de Quadra de Areia nos Bairros de Chã da Tábua e Tiúma no Município de São Lourenço da Mata/PE</t>
  </si>
  <si>
    <t>Contratação de Empresa de Engenharia Para  Construção de Unidade Básica de Saúde UBS – Upinha na Rua Imperial, localizada no Bairro Capibaribe no Município de São Lourenço da Mata/PE</t>
  </si>
  <si>
    <t>Contratação de Empresa de Engenharia Para  Revitalização e Implementação da Praça Dr. Araújo Sobrinho no Município de São Lourenço da Mata/PE</t>
  </si>
  <si>
    <t>014/2014</t>
  </si>
  <si>
    <t>015/2014</t>
  </si>
  <si>
    <t>016/2014</t>
  </si>
  <si>
    <t>017/2014</t>
  </si>
  <si>
    <t>018/2014</t>
  </si>
  <si>
    <t>019/2014</t>
  </si>
  <si>
    <t>020/2014</t>
  </si>
  <si>
    <t>021/2014</t>
  </si>
  <si>
    <t>022/2014</t>
  </si>
  <si>
    <t>023/2014</t>
  </si>
  <si>
    <t>027/2014</t>
  </si>
  <si>
    <t>028/2014</t>
  </si>
  <si>
    <t>030/2014</t>
  </si>
  <si>
    <t>032/2014</t>
  </si>
  <si>
    <t>LICITAÇÃO FRACASSADA</t>
  </si>
  <si>
    <t>024/2014</t>
  </si>
  <si>
    <t>em andamento</t>
  </si>
  <si>
    <t>90.839,63</t>
  </si>
  <si>
    <t>144.397,9</t>
  </si>
  <si>
    <t>4.836.602,40</t>
  </si>
  <si>
    <t>1.426.993,34</t>
  </si>
  <si>
    <t>115.353,65</t>
  </si>
  <si>
    <t>122.566,27</t>
  </si>
  <si>
    <t>10.996,45</t>
  </si>
  <si>
    <t>12.250,00</t>
  </si>
  <si>
    <t>107.078,05</t>
  </si>
  <si>
    <t>CV 005/2014</t>
  </si>
  <si>
    <t>CV 006/2014</t>
  </si>
  <si>
    <t>CP 001/2014</t>
  </si>
  <si>
    <t>TP 004/2014</t>
  </si>
  <si>
    <t>CV 008/2014</t>
  </si>
  <si>
    <t>CV 009/2014</t>
  </si>
  <si>
    <t>DI 006/2014</t>
  </si>
  <si>
    <t>DI 007/2014</t>
  </si>
  <si>
    <t>CV 010/2014</t>
  </si>
  <si>
    <t>DI 008/2014</t>
  </si>
  <si>
    <t>CP 002/2014</t>
  </si>
  <si>
    <t>TP 006/2014</t>
  </si>
  <si>
    <t>038/2014</t>
  </si>
  <si>
    <t>Contratação de Empresa de Engenharia Para Construção de Muro de Arrimo na Rua Topázio, nº 40 localizada no Bairro Capibaribe, e na Rua 11, nº 100 localizada no Parque Capibaribe no Município de São Lourenço da Mata/PE</t>
  </si>
  <si>
    <t>Contratação de Empresa de Engenharia Para  Construção de Velório no Bairro de Tiúma, localizado no Município de São Lourenço da Mata/PE</t>
  </si>
  <si>
    <t>Contratação de Empresa de Engenharia Para  Substituição de Guarda Corpo Metálico do Calçadão da PE-005 (Trecho Casa de Saúde), no Município de São Lourenço da Mata/PE</t>
  </si>
  <si>
    <t>034/2014</t>
  </si>
  <si>
    <t>035/2014</t>
  </si>
  <si>
    <t>036/2014</t>
  </si>
  <si>
    <t>040/2014</t>
  </si>
  <si>
    <t>041/2014</t>
  </si>
  <si>
    <t>Contratação de Empresa de Engenharia Para  Reforma de Diversas Escolas no Município de São Lourenço da Mata/PE</t>
  </si>
  <si>
    <t>Contratação de Empresa de Engenharia Para  Reforma da Coberta da Secretaria de Saúde Localizada no Centro do Município de São Lourenço da Mata/PE</t>
  </si>
  <si>
    <t>Contratação de Empresa de Engenharia Para Construção de Praça e Calçadão no Distrito de Lages no Município de São Lourenço da Mata/PE</t>
  </si>
  <si>
    <t>Contratação de Empresa de Engenharia Para Construção de Alambrado em Campo de Futebol em Escola do Recanto de Aldeia, no Município de São Lourenço da Mata/PE</t>
  </si>
  <si>
    <t>Contratação de Empresa de Engenharia Para Construção do Centro Multicultural no Município de São Lourenço da Mata/PE</t>
  </si>
  <si>
    <t>Contratação de Empresa de Engenharia Para  Serviços de Pintura e Coberta no prédio sede da Prefeitura Municipal de São lourenço da Mata</t>
  </si>
  <si>
    <t>Contratação de Empresa de Engenharia para Construção de escola no bairro Caiará no Muncípio de São Lourenço da Mata/PE</t>
  </si>
  <si>
    <t>Contratação de Empresa de Engenharia Para Construção de 02 Praças: Praça Ariano Suassuna em Frente ao Posto de Saúde do Bairro Rosina Labanca e  Praça da Várzea Fria em Frente ao Campo da Associação Atlética Ponte Preta no Bairro da Várzea Fria, Localizados no Município de São Lourenço da Mata/PE</t>
  </si>
  <si>
    <t>Contratação de Empresa de Engenharia Para Construção de Cinco Box’s, no Pátio da Feira Livre localizada na Rua Frei Caneca  no Centro do Município de São Lourenço da Mata/PE</t>
  </si>
  <si>
    <t>Contratação de Empresa de Engenharia Para Execução de Pavimentação, Drenagem, Escadaria ou Passeio das Rua 4° Travessa Imperial, Olho D'águas das Flores, Rua da Jaqueira, 1° Travessa Santa Maria, Rua Nova Esperança, Vila Nova Esperança, Rua Santa Elena , Bairro de São João São Paulo, no Município de São Lourenço da Mata-PE</t>
  </si>
  <si>
    <t>Contratação de Empresa de Engenharia Execução de Construção de Quadra de Futebol de Areia nos Bairros de Umuarama e Ercina Lapenda e Revitalização do Campo de Futebol no Bairro de Tiúma no Município de São Lourenço da Mata/PE</t>
  </si>
  <si>
    <t>Contratação de Empresa de Engenharia para Execução de Pavimentação e Drenagem no Complemento da Rua Josefa Severina e Aquino Localizada no Bairro Irineu Teixeira e  Pavimentação da Rua 11, Travessa da Rua 10, e  Construção de  Passeio na 1° Travessa da Rua 09,  Localizadas no Bairro do Parque Capibaribe no Município de São Lourenço da Mata-PE</t>
  </si>
  <si>
    <t>Contratação de Empresa de Engenharia Para Pavimentação e Drenagem em Diversos Bairros do Município de São Lourenço da Mata/PE</t>
  </si>
  <si>
    <t>Contratação de Empresa de Engenharia Para Construção de Muro de Arrimo em Diversos Bairros do Município de São Lourenço da Mata/PE</t>
  </si>
  <si>
    <r>
      <t>Contratação de Empresa de Engenharia para</t>
    </r>
    <r>
      <rPr>
        <sz val="10"/>
        <rFont val="Times New Roman"/>
        <family val="1"/>
      </rPr>
      <t xml:space="preserve">  Construção de Praça da Rua Júlia Gomes, Localizada no Centro do Município de São Lourenço da Mata/PE</t>
    </r>
  </si>
  <si>
    <r>
      <t>Contratação de Empresa de Engenharia para</t>
    </r>
    <r>
      <rPr>
        <sz val="10"/>
        <rFont val="Times New Roman"/>
        <family val="1"/>
      </rPr>
      <t xml:space="preserve">  Melhoria de acesso e Trecho de Pavimentação no Assentamento do Colégio, Localiozado no Bairro de Matriz da Luz no Município de São Lourenço da Mata/PE</t>
    </r>
  </si>
  <si>
    <r>
      <t>Contratação de Empresa de Engenharia para</t>
    </r>
    <r>
      <rPr>
        <sz val="10"/>
        <rFont val="Times New Roman"/>
        <family val="1"/>
      </rPr>
      <t xml:space="preserve">  Revestimento de Canal em Pedra Rachão Próximo a Academia das Cidades Localizada no Bairro Capibaribe no Município de São Lourenço da Mata/PE</t>
    </r>
  </si>
  <si>
    <r>
      <t>Contratação de Empresa de Engenharia para</t>
    </r>
    <r>
      <rPr>
        <sz val="10"/>
        <rFont val="Times New Roman"/>
        <family val="1"/>
      </rPr>
      <t xml:space="preserve">  Locação de Trator Esteira para Execução de Serviços de Terraplenagem  no Lixão do Município de São Lourenço da Mata/PE</t>
    </r>
  </si>
  <si>
    <r>
      <t>Contratação de Empresa de Engenharia para</t>
    </r>
    <r>
      <rPr>
        <sz val="10"/>
        <rFont val="Times New Roman"/>
        <family val="1"/>
      </rPr>
      <t xml:space="preserve">  Execução de Serviços de Limpeza Urbana no Município de São Lourenço da Mata/PE</t>
    </r>
  </si>
  <si>
    <t>Contratação de Empresa de Engenharia para Serviço de Recuperação das Estradas de Área Rural no Engenho Sintio 1 e 2, no Engenho Pixaó, Santa Rosa, Distrito de Lajes (Trecho Bela Rosa à California), Engenho Velho e Coepe, No Município de São Lourenço da Mata/PE</t>
  </si>
  <si>
    <t xml:space="preserve">Contratação de Empresa de Engenharia para Construção de Praça e Quadra Poliesportiva no Bairro do Pixete no Município de São Lourenço da Mata/PE.  </t>
  </si>
  <si>
    <t>043/2014</t>
  </si>
  <si>
    <t>044/2014</t>
  </si>
  <si>
    <t>045/2014</t>
  </si>
  <si>
    <t>046/2014</t>
  </si>
  <si>
    <t>047/2014</t>
  </si>
  <si>
    <t>048/2014</t>
  </si>
  <si>
    <t>049/2014</t>
  </si>
  <si>
    <t>050/2014</t>
  </si>
  <si>
    <t>051/2014</t>
  </si>
  <si>
    <t>052/2014</t>
  </si>
  <si>
    <t>055/2014</t>
  </si>
  <si>
    <t>057/2014</t>
  </si>
  <si>
    <t>059/2014</t>
  </si>
  <si>
    <t>060/2014</t>
  </si>
  <si>
    <t>061/2014</t>
  </si>
  <si>
    <t>062/2014</t>
  </si>
  <si>
    <t>063/2014</t>
  </si>
  <si>
    <t>064/2014</t>
  </si>
  <si>
    <t>065/2014</t>
  </si>
  <si>
    <t>066/2014</t>
  </si>
  <si>
    <t>067/2014</t>
  </si>
  <si>
    <t>068/2014</t>
  </si>
  <si>
    <t>069/2014</t>
  </si>
  <si>
    <t>070/2014</t>
  </si>
  <si>
    <t>074/2014</t>
  </si>
  <si>
    <t>075/2014</t>
  </si>
  <si>
    <t>077/204</t>
  </si>
  <si>
    <t>078/2014</t>
  </si>
  <si>
    <t>079/2014</t>
  </si>
  <si>
    <t>080/2014</t>
  </si>
  <si>
    <t>082/2014</t>
  </si>
  <si>
    <t>084/2014</t>
  </si>
  <si>
    <t>CV 015/2014</t>
  </si>
  <si>
    <t>TP 008/2014</t>
  </si>
  <si>
    <t>TP 010/2014</t>
  </si>
  <si>
    <t>TP 011/2014</t>
  </si>
  <si>
    <t>CV 018/2014</t>
  </si>
  <si>
    <t>CV 019/2014</t>
  </si>
  <si>
    <t>CV 021/2014</t>
  </si>
  <si>
    <t>TP 012/2014</t>
  </si>
  <si>
    <t>DI 012/2014</t>
  </si>
  <si>
    <t>TP 013/2014</t>
  </si>
  <si>
    <t>CV 023/2014</t>
  </si>
  <si>
    <t>CV 026/2014</t>
  </si>
  <si>
    <t>CV 028/2014</t>
  </si>
  <si>
    <t>CV 030/2014</t>
  </si>
  <si>
    <t>CV 031/2014</t>
  </si>
  <si>
    <t>CV 033/2014</t>
  </si>
  <si>
    <t>CP 004/2014</t>
  </si>
  <si>
    <t>CP 005/2014</t>
  </si>
  <si>
    <t>DI 018/2014</t>
  </si>
  <si>
    <t>DI 019/2014</t>
  </si>
  <si>
    <t>TP 016/2014</t>
  </si>
  <si>
    <t>TP 017/2014</t>
  </si>
  <si>
    <t>CP 006/2014</t>
  </si>
  <si>
    <t>CV 037/2014</t>
  </si>
  <si>
    <t>CV 039/2014</t>
  </si>
  <si>
    <t>DI 020/2014</t>
  </si>
  <si>
    <t>CAEL - COELHO DE ANDRADE ENGª LTDA</t>
  </si>
  <si>
    <t>CONSTRUTORA SANTA LEONOR LTDA</t>
  </si>
  <si>
    <t>SENTRA SERVIÇOS E EMPREENDIMENTOS LTDA</t>
  </si>
  <si>
    <t xml:space="preserve">BARROS CONSTR. SERV. LTDA  </t>
  </si>
  <si>
    <t>TOP CONSTRUÇÕES LTDA</t>
  </si>
  <si>
    <t>TRENA CONSTRUÇÕES LTDA</t>
  </si>
  <si>
    <t>PRESSA CONSTRUÇÕES LTDA</t>
  </si>
  <si>
    <t>CAEL – COELHO DE ANDRADE ENGENHARIA LTDA</t>
  </si>
  <si>
    <t xml:space="preserve">GTA CONSTRUÇÕES LTDA  </t>
  </si>
  <si>
    <t>C &amp; M CONSTRUTORA E PRESTADORA DE SERVIÇOS LTDA</t>
  </si>
  <si>
    <t xml:space="preserve">MM ENGENHARIA E SERVIÇOS LTDA   </t>
  </si>
  <si>
    <t xml:space="preserve">BARROS CONSTRUÇÕES E SERVIÇOS LTDA   </t>
  </si>
  <si>
    <t>SENTRA SERVIÇOS E EMPRENDIMENTOS LTDA</t>
  </si>
  <si>
    <t>M &amp; M EMPREENDIMENTOS E INCORPORAÇÕES LTDA</t>
  </si>
  <si>
    <t>CIFRA ENGENHARIA LTDA</t>
  </si>
  <si>
    <t>C &amp; M CONSTRUT. E PREST. DE SERV. LTDA - ME</t>
  </si>
  <si>
    <t>CONSTRUTORA INGAZEIRA LTDA</t>
  </si>
  <si>
    <t xml:space="preserve">GTA CONSTRUÇÕES LTDA - EPP  </t>
  </si>
  <si>
    <t>SENTRA SERV. EMPREEND. LTDA</t>
  </si>
  <si>
    <t>MGM EMPREENDIMENTOS E SERV. LTDA</t>
  </si>
  <si>
    <t>Sentra Serv. E Empreendimentos Ltda</t>
  </si>
  <si>
    <t>KENNETH NASCIMENTO E CIA LTDA</t>
  </si>
  <si>
    <t>GTA CONSTRUÇÕES LTDA</t>
  </si>
  <si>
    <t>CV 003/2014</t>
  </si>
  <si>
    <t>tp 013-2013</t>
  </si>
  <si>
    <t>contratação de empresa de engenharia para Execução de Serviços de Pintura nas Praças do Alto da Igreja e Praça do Canhão Localizadas no Centro do Município de São Lourenço da Mata/PE</t>
  </si>
  <si>
    <t>TP 005/2012</t>
  </si>
  <si>
    <t>200,000,00</t>
  </si>
  <si>
    <t>119.954,40</t>
  </si>
  <si>
    <t>contratação de empresa de engenharia para Execução de Serviços de Aluguel de Máquina Munk para Retirada de Ferragem do Terreno do Distrito de Matriz da Luz no Município de São Lourenço da Mata/PE</t>
  </si>
  <si>
    <t>3.200,00</t>
  </si>
  <si>
    <t>1.963.034,62</t>
  </si>
  <si>
    <t>LICITAÇÃO DESERTA</t>
  </si>
  <si>
    <t>Contratação de Empresa de Engenharia Para Revisão do Pátio de Eletricidade (Ruas) de Todos os Bairros  no Município de São Lourenço da Mata/PE</t>
  </si>
  <si>
    <t>pontualidade</t>
  </si>
  <si>
    <t xml:space="preserve">Contratação de Empresa de Engenharia para Pintura dos Guarda Corpos do Viaduto de Acesso ao Parque Capibaribe no Município de São Lourenço da Mata/PE.  </t>
  </si>
  <si>
    <t>Contratação de Empresa de Engenharia Para Reabertura de Canal na Várzea Fria com Aterro Lateral, referente ao Primeiro Trecho que  Compreende do início da Rua Aurora até o Muro da Fiat e Terraplenagem na Zona Rural no Município de São Lourenço da Mata/PE</t>
  </si>
  <si>
    <t>OBRAS DE 2010:</t>
  </si>
  <si>
    <t>001/2015</t>
  </si>
  <si>
    <t>CONCLUIDA</t>
  </si>
  <si>
    <t>enertec</t>
  </si>
  <si>
    <t>2015</t>
  </si>
  <si>
    <t>Contratação de Empresa de Engenharia Substituição e Construção de Guarda Corpo Metálico do Calçadão da PE-005 (Trecho em Frente a Garagem da Metropolitana) e Embaixo do Viaduto Josué Pereira, no Município de São Lourenço da Mata/PE</t>
  </si>
  <si>
    <t>Tomada de Preços 001/2015</t>
  </si>
  <si>
    <t>003/2015</t>
  </si>
  <si>
    <t>002/2015</t>
  </si>
  <si>
    <t>Contratação de Empresa de Engenharia Para Reforma da Academia da Cidade , Localizada no Bairro Capibaribe no Município de São Lourenço da Mata/PE</t>
  </si>
  <si>
    <t xml:space="preserve">Carta- Convite  001/2015 </t>
  </si>
  <si>
    <t>004/2015</t>
  </si>
  <si>
    <t>Contratação de Empresa de Engenharia Para Execução de Instalação de Iluminação Pública (Trecho da Mec- Trônic a Rua do Cotovelo Localizada em Tiúma), no Município de São Lourenço da Mata-PE</t>
  </si>
  <si>
    <t>NÃO INICIADA</t>
  </si>
  <si>
    <t>Carta- Convite   002/2015</t>
  </si>
  <si>
    <t>Contratação de Empresa de Engenharia Para Construção de Área na Escola da Avenida 2, Localizada no Bairro do Parque Capibaribe, no Município de São Lourenço da Mata-PE</t>
  </si>
  <si>
    <t>Carta- Convite  003/2015</t>
  </si>
  <si>
    <t>005/2015</t>
  </si>
  <si>
    <t>Contratação de Empresa de Engenharia Para Locação de Máquinas para Transporte de Materiais e Serviços Diversos em Diversos Bairros no Município de São Lourenço da Mata/PE</t>
  </si>
  <si>
    <t>Carta- Convite 004/2015</t>
  </si>
  <si>
    <t>009/2015</t>
  </si>
  <si>
    <t>006/2015</t>
  </si>
  <si>
    <t>Contratação de Empresa de Engenharia para Serviços de Drenagem de Águas Servidas do Bairro de Ercina Lapenda na Rua Barra de Guabiraba e Rua Paraiba Próximo a Quadra de Areia, no Municipio de São Lourenço da Mata-PE</t>
  </si>
  <si>
    <t>Dispensa  001/2015</t>
  </si>
  <si>
    <t>007/2015</t>
  </si>
  <si>
    <t>Contratação de Empresa de Engenharia Para Execução de Reforma do Banheiro Público da Praça Timulião Maranhão, Localizada no Centro do Município de São Lourenço da Mata/PE</t>
  </si>
  <si>
    <t xml:space="preserve">Carta- Convite  005/2015 </t>
  </si>
  <si>
    <t>011/2015</t>
  </si>
  <si>
    <t>008/2015</t>
  </si>
  <si>
    <t>Contratação de Empresa de Engenharia para Execução de Reforma do Cras de Matriz da Luz, no Município de São Lourenço da Mata-PE</t>
  </si>
  <si>
    <t>Dispensa  002/2015</t>
  </si>
  <si>
    <t>Contratação de Empresa de Engenharia para Serviços de Pintura e Requalificação na Praça do Abrigo da Parada de Ônibus e Praça Junior Magazine, Localizado na Rua Dr. Luis Correa de Araujo, Município de São Lourenço da Mata/PE</t>
  </si>
  <si>
    <t>Dispensa   003/2015</t>
  </si>
  <si>
    <t>010/2015</t>
  </si>
  <si>
    <t>Reforma da Praça do Bairro Caiará, Praça Manoel Joaquim da Silva Localizada no Bairro São João e São Paulo, Praça Governador Miguel Arraes Localizada no Centro, Praça Governador Moura Cavalcanti Localizada no Bairro Beira Rio e Praça Ademar Francisco Vieira Localizada no Bairro de Tiúma no Município de São Lourenço da Mata-PE</t>
  </si>
  <si>
    <t>Tomada de Preços  002/2015</t>
  </si>
  <si>
    <t>020/2015</t>
  </si>
  <si>
    <t>Contratação de Empresa de Engenharia Para Levantamento cadastral de Iluminação Pública do Município de São Lourenço da Mata/PE</t>
  </si>
  <si>
    <t>Carta- Convite  006/2015</t>
  </si>
  <si>
    <t>012/2015</t>
  </si>
  <si>
    <t>Contratação de Empresa de Engenharia Para Execução dos Serviços de Conservação, Desobstrução e Limpeza de Canais e Canaletas em Diversos Locais do Município de São Lourenço da Mata/PE</t>
  </si>
  <si>
    <t>Carta- Convite 007/2015</t>
  </si>
  <si>
    <t>013/2015</t>
  </si>
  <si>
    <t>Contratação de Empresa de Engenharia para Serviços de Reforma nas Unidades de Postos Policiais de Lajes e Matriz da Luz, no Município de São Lourenço da Mata-PE</t>
  </si>
  <si>
    <t>Dispensa  004/2015</t>
  </si>
  <si>
    <t>014/2015</t>
  </si>
  <si>
    <t>Contratação de Empresa de Engenharia para Execução de Pavimentação e Drenagem de Diversas Ruas dos Bairros de Penedo, São João e São Paulo e Parque Metropolitano do Município de São Lourenço da Mata-PE</t>
  </si>
  <si>
    <t>Tomada de Preços   003/2015</t>
  </si>
  <si>
    <t>015/2015</t>
  </si>
  <si>
    <t>Contratação de Empresa de Engenharia para Recuperação da Cobertura do Ginásio de Esportes "O Pereirão, Município de São Lourenço da Mata-PE</t>
  </si>
  <si>
    <t>Tomada de Preços  004/2015</t>
  </si>
  <si>
    <t>016/2015</t>
  </si>
  <si>
    <t>Contratação de Empresa de Engenharia para Serviços de Recomposição de Bases em Trechos onde serão Realizados Recapeamentos Asfálticos, no Município De São Lourenço da Mata/PE</t>
  </si>
  <si>
    <t>Carta- Convite  008/2015</t>
  </si>
  <si>
    <t>017/2015</t>
  </si>
  <si>
    <t>Contratação da Empresa de Engenharia para Construção de Sistema Final de Esgoto Sanitário, Construção de Dispensa e Restaurações Estruturais e Hidráulicas nos Reservatórios d'água inferior e superior,  na Escola Professor Severino Sales, no Município de São Lourenço da Mata-PE</t>
  </si>
  <si>
    <t>EM ANDAMENTO</t>
  </si>
  <si>
    <t>Dispensa  005/2015</t>
  </si>
  <si>
    <t>14.046,58</t>
  </si>
  <si>
    <t>0,00</t>
  </si>
  <si>
    <t>018/2015</t>
  </si>
  <si>
    <t>Contratação da Empresa de Engenharia para Execução de Reforma da Secretaria de Turismo Cultura e Esportes, no Município de São Lourenço da Mata-PE</t>
  </si>
  <si>
    <t>Carta- Convite  009/2015</t>
  </si>
  <si>
    <t>019/2015</t>
  </si>
  <si>
    <t>Contratação de Empresa de Engenharia para Execução de Drenagem com Construção de Ponta de Ala, Localizado no Bairro Constantino, no Município de São Lourenço da Mata - PE</t>
  </si>
  <si>
    <t>Carta- Convite  010/2015</t>
  </si>
  <si>
    <t>Contratação de Empresa de Engenharia para Recuperação da Escadaria, Construção de Passeio e Drenagem na Rua 63 - Parque Capibaribe, no Município de São Lourenço da Mata/PE</t>
  </si>
  <si>
    <t>Carta- Convite  011/2015</t>
  </si>
  <si>
    <t>021/2015</t>
  </si>
  <si>
    <t>Contratação de Empresa de Engenharia para Construção de Consultório Médico e Odontológico no Bairro de Chã da Tábua no Município de São Lourenço da Mata/PE</t>
  </si>
  <si>
    <t>Carta- Convite  012/2015</t>
  </si>
  <si>
    <t>90.223,54</t>
  </si>
  <si>
    <t>022/2015</t>
  </si>
  <si>
    <r>
      <t xml:space="preserve">Contratação de Empresa de Engenharia para </t>
    </r>
    <r>
      <rPr>
        <sz val="11"/>
        <rFont val="Times New Roman"/>
        <family val="1"/>
      </rPr>
      <t>Reforma de Diversos Postos de Saúde e Unidades Médicas do Município de São Lourenço da Mata - PE</t>
    </r>
  </si>
  <si>
    <t>Tomada de Preços  005/2015</t>
  </si>
  <si>
    <t>292.163,45</t>
  </si>
  <si>
    <t>023/2015</t>
  </si>
  <si>
    <t>Contratação de Empresa de Engenharia para Execução de Pavimentação e Drenagem em Diversas Ruas no Bairro de Penedo, no Município de São Lourenço da Mata/PE</t>
  </si>
  <si>
    <t>LICITAÇÃO FRACAS-SADA</t>
  </si>
  <si>
    <t>Tomada de Preços  006/2015</t>
  </si>
  <si>
    <t>024/2015</t>
  </si>
  <si>
    <t>Contratação de Empresa de Engenharia para Recuperação da Coberta e Construção de Piso Interno da Área a ser Coberta do Ginásio de Esportes “Pereirão” no Município de São Lourenço da Mata-PE,</t>
  </si>
  <si>
    <t>Tomada de Preços  007/2015</t>
  </si>
  <si>
    <t>343.478,55</t>
  </si>
  <si>
    <t>025/2015</t>
  </si>
  <si>
    <t>Contratação de Empresa de Engenharia para Construção de Unidade de pronto Atendimento – UPA -  no Bairro de Matriz da Luz no Município de São Lourenço da Mata/PE</t>
  </si>
  <si>
    <t>LICITAÇÃO EM ANDAMENTO</t>
  </si>
  <si>
    <t>Tomada de Preços  008/2015</t>
  </si>
  <si>
    <t>026/2015</t>
  </si>
  <si>
    <t>Contratação de Empresa de Engenharia Para Serviços de Recomposição de Bases em Trechos onde serão Realizados Recapeamentos Asfálticos, no Município De São Lourenço da Mata/PE</t>
  </si>
  <si>
    <t>Carta- Convite  013/2015</t>
  </si>
  <si>
    <t>027/2015</t>
  </si>
  <si>
    <t>Contratação de Empresa de Engenharia Para Execução de Reforma da Junta Militar, Localizada no Centro do Município de São Lourenço da Mata-PE</t>
  </si>
  <si>
    <t>Carta- Convite  014/2015</t>
  </si>
  <si>
    <t>25.758,97</t>
  </si>
  <si>
    <t>028/2015</t>
  </si>
  <si>
    <t>Carta- Convite  015/2015</t>
  </si>
  <si>
    <t>021/02015</t>
  </si>
  <si>
    <t>50.030,67</t>
  </si>
  <si>
    <t>029/2015</t>
  </si>
  <si>
    <t>Contratação de Empresa de Engenharia Para Reforma de Diversas Escolas no Município De São Lourenço da Mata/PE</t>
  </si>
  <si>
    <t>Tomada de Preços  009/2015</t>
  </si>
  <si>
    <t>566.304,31</t>
  </si>
  <si>
    <t>030/2015</t>
  </si>
  <si>
    <t>Contratação de Empresa de Engenharia Pavimentação, Reposição de Pavimento e Drenagem no Bairro do Loteamento São João São Paulo no Município de São Lourenço da Mata/PE</t>
  </si>
  <si>
    <t>Carta- Convite  016/2015</t>
  </si>
  <si>
    <t>031/2015</t>
  </si>
  <si>
    <t>Contratação de Empresa de Engenharia para Construção de Catatumbas no Cemitério de Matriz da Luz, Tiúma e Centro do Município de São Lourenço da Mata/PE</t>
  </si>
  <si>
    <t>Tomada de Preços  010/2015</t>
  </si>
  <si>
    <t>258.222,17</t>
  </si>
  <si>
    <t>032/2015</t>
  </si>
  <si>
    <t>Contratação de Empresa de Engenharia para Construção de Praça Urbanística, localizado no Distrito de Tiúma,  Município de São Lourenço da Mata/PE</t>
  </si>
  <si>
    <t>Carta- Convite  017/2015</t>
  </si>
  <si>
    <t>033/2015</t>
  </si>
  <si>
    <t>Contratação de Empresa de Engenharia para Reforma das Quadras e Praças nos Bairros de Ercina Lapenda, Francisco de Paula, Parque Capibaribe e Caiará, no Municipio de São Lourenço da Mata/PE</t>
  </si>
  <si>
    <t>Tomada de Preços  011,/2015</t>
  </si>
  <si>
    <t>034/2015</t>
  </si>
  <si>
    <t>035/2015</t>
  </si>
  <si>
    <t>Contratação de Empresa de Engenharia para Pavimentação, Reposição de Pavimento e Drenagem no Bairro do Loteamento São João São Paulo no Município de São Lourenço da Mata/PE</t>
  </si>
  <si>
    <t>Carta- Convite  018/2015</t>
  </si>
  <si>
    <t>036/2015</t>
  </si>
  <si>
    <t>Contratação de Empresa de Engenharia para Reforma da Praça Governador Carlos Wilson (Praça do Canhão) Localizada no Centro do Município de São Lourenço da Mata/PE</t>
  </si>
  <si>
    <t>Carta- Convite  019/2015</t>
  </si>
  <si>
    <t>037/2015</t>
  </si>
  <si>
    <t>Contratação de Empresa de Engenharia para o Fornecimento e Instalação de Barras de Futebol no Município de São Lourenço da Mata/PE</t>
  </si>
  <si>
    <t>Dispensa 006/2015</t>
  </si>
  <si>
    <t>não Contratada</t>
  </si>
  <si>
    <t>038/2015</t>
  </si>
  <si>
    <t>Contratação de Empresa de Engenharia para Limpeza de Açude no Distrito de Lages, Produção de Material Piçarro em Jazidas no Distrito de Matriz da Luz, Aterro no Campo de Futebol na Rua Francisco Alves no Bairro Loteamento São João e São Paulo no Município de São Lourenço da Mata/PE</t>
  </si>
  <si>
    <t>Carta- Convite  020/2015</t>
  </si>
  <si>
    <r>
      <t xml:space="preserve">Contratação da Empresa de Engenharia Para </t>
    </r>
    <r>
      <rPr>
        <sz val="11"/>
        <rFont val="Arial"/>
        <family val="2"/>
      </rPr>
      <t>Locação de Retroescavadeira Hidráulica para Demolição de Edificações em Risco na Av. 01 do Parque Capibaribe no Município de São Lourenço da Mata/PE</t>
    </r>
  </si>
  <si>
    <t>DI EMERGENCIAL</t>
  </si>
  <si>
    <t>Contratação de Empresa de Engenharia Para Execução de Reforma na Recepção, Bloco Cirúrgico e Coberta do Hospital Petronila Campos no Município de São Lourenço da Mata/PE</t>
  </si>
  <si>
    <t>Carta- Convite  021/2015</t>
  </si>
  <si>
    <t>Contratação de Empresa de Engenharia para Limpeza de Açude no Distrito de Lages, no Município de São Lourenço da Mata - PE</t>
  </si>
  <si>
    <t>Carta- Convite  022/2015</t>
  </si>
  <si>
    <t>Contratação da Empresa de Engenharia para o fornecimento e instalação de gambiarra na área do Pátio da Igreja Matriz e ruas adjacentes para o período da festa de agosto no Centro do Município de São Lourenço da Mata-PE</t>
  </si>
  <si>
    <t>Dispensa 007/2015</t>
  </si>
  <si>
    <t>Contratação da Empresa de Engenharia para o Fornecimento e Espalhamento de Brita Corrida na Área de Eventos do Centro do Município de São Lourenço da Mata/PE</t>
  </si>
  <si>
    <t>Dispensa 008/2015</t>
  </si>
  <si>
    <t>Contratação de Empresa de Engenharia Para Execução de Pavimentação em Paralelepípedos Graníticos e Drenagem em Diversas Ruas no Bairro de Penedo no Município de São Lourenço da Mata/PE</t>
  </si>
  <si>
    <t>Tomada de Preços  012/2015</t>
  </si>
  <si>
    <t>039/2015</t>
  </si>
  <si>
    <t>Contratação da Empresa de Engenharia para o Fornecimento, Instalação de Gradis e Urbanização de Jardins na Escola Rosina Labanca, Localizada no Parque Capibaribe no Municipio de São Lourenço da Mata/PE</t>
  </si>
  <si>
    <t>Dispensa 009/2015</t>
  </si>
  <si>
    <t>Contratação da Empresa de Engenharia para Manutenção de Iluminação nas Vias Urbanas do Centro do Município de São Lourenço da Mata/PE</t>
  </si>
  <si>
    <t>Dispensa 010/2015</t>
  </si>
  <si>
    <t>Contratação de Empresa de Engenharia Para Serviços de Recuperações Asfálticas em Diversos Locais, no Município de São Lourenço da Mata/PE</t>
  </si>
  <si>
    <t>CP 001/2015</t>
  </si>
  <si>
    <t>Contratação de Empresa de Engenharia Para Serviços de Recuperações de Paralelepípedos Graníticos e Drenagem em Diversos Locais, no Município de São Lourenço da Mata/PE</t>
  </si>
  <si>
    <t>CP 002/2015</t>
  </si>
  <si>
    <t>Contratação de Empresa de Engenharia Para Recuperação da Iluminação do Calçadão da Avenida Belmino Correia (Trecho da Entrada de Penedo), Localizada no Bairro de Penedo no Município de São Lourenço da Mata-PE</t>
  </si>
  <si>
    <t>Carta- Convite  023/2015</t>
  </si>
  <si>
    <t>Contratação de Empresa de Engenharia Para Ampliação dos Postos de Saúde da Família (PSF) dos Bairros: Pixete, Chã da Tábua, Penedo e Tiúma e Reforma do Posto de Saúde da Família do Bairro Bela Vista localizados no Município de São Lourenço da Mata/PE</t>
  </si>
  <si>
    <t>Tomada de Preços  013/2015</t>
  </si>
  <si>
    <t>045/2015</t>
  </si>
  <si>
    <t>Contratação Emergencial de Empresa de Engenharia para Recuperação em Pavimentações Asfálticas,  Paralelepípedos Graníticos e Drenagem em Diversos Locais no Município de São Lourenço da Mata-PE</t>
  </si>
  <si>
    <t>Carta- Convite  024/2015</t>
  </si>
  <si>
    <t>Contratação de empresa de engenharia para Construção de Ponto de Taxi Localizado entre a Avenida Beira Rio e Avenida 01 (ao Lado do Hospital Petronila Campos), no Bairro Parque Capibaribe, Município de São Lourenço da Mata-PE</t>
  </si>
  <si>
    <t>Carta- Convite  025/2015</t>
  </si>
  <si>
    <t>041/2015</t>
  </si>
  <si>
    <t>Contratação de Empresa de Engenharia para Execução de Reforma do Laboratório do Parque Capibaribe, no Município de São Lourenço da Mata-PE</t>
  </si>
  <si>
    <t>Carta- Convite  026/2015</t>
  </si>
  <si>
    <t>Contratação de Empresa de Engenharia Para Execução de Reforma do Clube Municipal de Lajes, Distrito de Lajes, no Município de São Lourenço da Mata-PE</t>
  </si>
  <si>
    <t>Carta- Convite  027/2015</t>
  </si>
  <si>
    <t>042/2015</t>
  </si>
  <si>
    <t>Contratação da Empresa de Engenharia para Recuperação e Melhorias em Quadra Poliesportiva Localizada na Av. 08 de Maio, Bairro de Chã da Tábua do Município de São Lourenço da Mata/P</t>
  </si>
  <si>
    <t>Dispensa 011/2015</t>
  </si>
  <si>
    <t>040/2015</t>
  </si>
  <si>
    <t>Contratação de Empresa de Engenharia Para Complementação da Construção de Velório no Bairro de Nova Tiúma, Localizado no Município de São Lourenço da Mata/PE</t>
  </si>
  <si>
    <t>Tomada de Preços  014/2015</t>
  </si>
  <si>
    <t>047/2015</t>
  </si>
  <si>
    <t>Contratação da Empresa de Engenharia para Locação de PC Hidráulica para Executar Corte de Picarete para Recuperação de Estradas Rurais do Município de São Lourenço da Mata/PE</t>
  </si>
  <si>
    <t>Dispensa 012/2015</t>
  </si>
  <si>
    <t>043/2015</t>
  </si>
  <si>
    <t>Contratação da Empresa de Engenharia para Fornecimento e Espalhamento de Areia para Campos de Futebol do Município de São Lourenço da Mata/PE</t>
  </si>
  <si>
    <t>Dispensa 013/2015</t>
  </si>
  <si>
    <t>044/2015</t>
  </si>
  <si>
    <t>Carta- Convite  028/2015</t>
  </si>
  <si>
    <t>Contratação de Empresa de Engenharia para Execução de Reforma das Praças Leão Coroado e Barão de Rio Branco no Município de São Lourenço da Mata/PE</t>
  </si>
  <si>
    <t>Tomada de Preços  015/2015</t>
  </si>
  <si>
    <t>Contratação da Empresa de Engenharia para Construção de Pergolado em Madeira na Praça Carlos Wilson, localizada no Centro do Município de São Lourenço da Mata/PE</t>
  </si>
  <si>
    <t>Dispensa 014/2015</t>
  </si>
  <si>
    <t>046/2015</t>
  </si>
  <si>
    <t>Contratação da Empresa de Engenharia para Construção de Ponto de Moto Taxi Localizado entre a Avenida Beira Rio e Avenida 01 (Ao Lado do Hospital Petronila Campos), no Bairro Parque Capibaribe, Município de São Lourenço da Mata-PE</t>
  </si>
  <si>
    <t>Dispensa 015/2015</t>
  </si>
  <si>
    <t>048/2015</t>
  </si>
  <si>
    <t>barros</t>
  </si>
  <si>
    <t>gta</t>
  </si>
  <si>
    <t>RB</t>
  </si>
  <si>
    <t>049/2015</t>
  </si>
  <si>
    <t>050/2015</t>
  </si>
  <si>
    <t>051/2015</t>
  </si>
  <si>
    <t>052/2015</t>
  </si>
  <si>
    <t>053/2015</t>
  </si>
  <si>
    <t>054/2015</t>
  </si>
  <si>
    <t>055/2015</t>
  </si>
  <si>
    <t>056/2015</t>
  </si>
  <si>
    <t>057/2015</t>
  </si>
  <si>
    <t>058/2015</t>
  </si>
  <si>
    <t>059/2015</t>
  </si>
  <si>
    <t>060/2015</t>
  </si>
  <si>
    <t>061/2015</t>
  </si>
  <si>
    <t>062/2015</t>
  </si>
  <si>
    <t>VIGO</t>
  </si>
  <si>
    <t xml:space="preserve">MM SERV. </t>
  </si>
  <si>
    <t>KENNETH</t>
  </si>
  <si>
    <t>350.678,93</t>
  </si>
  <si>
    <t>LICITAÇÃO ANULADA</t>
  </si>
  <si>
    <t>143.730,2</t>
  </si>
  <si>
    <t>C E M</t>
  </si>
  <si>
    <t>CONSTRUGEL</t>
  </si>
  <si>
    <t>M &amp; M</t>
  </si>
  <si>
    <t>NÃO CONTRATADA</t>
  </si>
  <si>
    <t>LICITAÇÃO REVOGADA</t>
  </si>
  <si>
    <t>11.960,34</t>
  </si>
  <si>
    <t>Deserta</t>
  </si>
  <si>
    <t>Contratação de Empresa de Engenharia para Execução de Reforma do Instituto Acolhedora Ivanilda Maria da Silva, no Centro do Município de São Lourenço da Mata-PE</t>
  </si>
  <si>
    <t>consorcio cael / metropole</t>
  </si>
  <si>
    <t>1º TRIMESTRE/2014</t>
  </si>
  <si>
    <t>2º TRIMESTRE/2014</t>
  </si>
  <si>
    <t>3º TRIMESTRE/2014</t>
  </si>
  <si>
    <t>2º TRIMESTRE/2015</t>
  </si>
  <si>
    <t>3º TRIMESTRE/2015</t>
  </si>
  <si>
    <t>4º TRIMESTRE/2014</t>
  </si>
  <si>
    <t>cael</t>
  </si>
  <si>
    <t>cial</t>
  </si>
  <si>
    <t>4º TRIMESTRE/2015</t>
  </si>
  <si>
    <t>063/2015</t>
  </si>
  <si>
    <t>064/2015</t>
  </si>
  <si>
    <t>065/2015</t>
  </si>
  <si>
    <t>066/2015</t>
  </si>
  <si>
    <t>067/2015</t>
  </si>
  <si>
    <t>068/2015</t>
  </si>
  <si>
    <t>069/2015</t>
  </si>
  <si>
    <t>070/2015</t>
  </si>
  <si>
    <t>071/2015</t>
  </si>
  <si>
    <t>072/2015</t>
  </si>
  <si>
    <t>073/2015</t>
  </si>
  <si>
    <t>074/2015</t>
  </si>
  <si>
    <t>075/2015</t>
  </si>
  <si>
    <t>Contratação de Empresa de Engenharia para Locação de Trator Esteira para Execução de Serviços de Terraplenagem  no Lixão do Município de São Lourenço da Mata/PE</t>
  </si>
  <si>
    <t>Tomada de Preços  016/2015</t>
  </si>
  <si>
    <t>Contratação de Empresa de Engenharia Para Execução de Reforma do Instituto Acolhedora Ivanilda Maria da Silva, no Centro do Município de São Lourenço da Mata-PE</t>
  </si>
  <si>
    <t>Tomada de Preços  017/2015</t>
  </si>
  <si>
    <t>PONTUALIDADE CONSTRUÇÕES LTDA</t>
  </si>
  <si>
    <t>Carta- Convite  029/2015</t>
  </si>
  <si>
    <t>Contratação de Empresa de Engenharia Para Construção de Pracinhas de Limpeza Urbana em Diversos Locais do Município de São Lourenço da Mata-PE</t>
  </si>
  <si>
    <t>Carta- Convite  030/2015</t>
  </si>
  <si>
    <t>Contratação de Empresa de Engenharia Para Reforma dos Centros de Referência da Assistência Social – CRAS, Localizados nos Bairros Beira Rio e Tiúma no Município de São Lourenço da Mata-PE</t>
  </si>
  <si>
    <t>Carta- Convite  031/2015</t>
  </si>
  <si>
    <t>Contratação de Empresa de Engenharia Para Reforma no Prédio do Programa Bolsa Família, Localizado na Rua José Maranhão, nº 115, No Bairro Vila do Reinado no Município de São Lourenço da Mata-PE</t>
  </si>
  <si>
    <t>Carta- Convite  032/2015</t>
  </si>
  <si>
    <t>CP 003/2015</t>
  </si>
  <si>
    <t>Licitação Adiada sine die</t>
  </si>
  <si>
    <t>Contratação de Empresa de Engenharia Para Reforma da Praça do Centenário Localizada entre a Rua João Francisco e 2ª Travessa Gil Maranhão e da Praça da Macaíba, Localizadas no Centro do Centro do Município de São Lourenço da Mata-PE</t>
  </si>
  <si>
    <t>Carta- Convite  033/2015</t>
  </si>
  <si>
    <t>Contratação de Empresa de Engenharia para Contratação de Empresa Especializada para Prestação de Serviços de Perfuração Construção de 20 Poços Tubulares de Água Potável com 60 Metros de Profundidade e Revestimento de 06 (seis) Polegadas, Serviços de Interligações Elétricas e Hidráulicas do Poço à Caixa de Reservatório e 20 Chafariz (caixa d'água), em Diversas Localidades no Município de São Lourenço da Mata-PE</t>
  </si>
  <si>
    <t>Licitação Cancelada</t>
  </si>
  <si>
    <t>Contratação de Empresa de Engenharia Para Prestação de Serviços de Perfuração Construção de 20 Poços Tubulares de Água Potável com 60 Metros de Profundidade e Revestimento de 06 (seis) Polegadas, Serviços de Interligações Elétricas e Hidráulicas do Poço à Caixa de Reservatório e 20 Chafariz (caixa d'água), em Diversas Localidades no Município de São Lourenço da Mata-PE</t>
  </si>
  <si>
    <t>Contratação de Empresa de Engenharia para Locação de Caminhão Poliguindaste para Transporte de Paradas de Ônibus Pré-Moldadas para Estradas Rurais no Município de São Lourenço da Mata-PE</t>
  </si>
  <si>
    <t>Dispensa nº 017/2015</t>
  </si>
  <si>
    <t>Dispensa nº 016/2015</t>
  </si>
  <si>
    <t>Contratação da Empresa de Engenharia Para Iluminação Decorativa de Natal da Praça Governador Carlos Wilson, Localizada no Centro do Município de São Lourenço da Mata-PE</t>
  </si>
  <si>
    <t>076/2015</t>
  </si>
  <si>
    <t>077/2015</t>
  </si>
  <si>
    <t>078/2015</t>
  </si>
  <si>
    <t>079/2015</t>
  </si>
  <si>
    <t>Contratação da Empresa de Engenharia Para Iluminação Decorativa de Natal da Praça Governador Carlos Wilson, Localizada no Centro do Município de São Lourenço da Mata-PE  - REPETIÇÃO.</t>
  </si>
  <si>
    <t>Tomada de Preços  019/2015</t>
  </si>
  <si>
    <t>Contratação de Empresa Manutenção de Iluminação Pública no Município de São Lourenço da Mata-PE</t>
  </si>
  <si>
    <t>LICITAÇÃO aNULADA</t>
  </si>
  <si>
    <t>Carta- Convite  035/2015</t>
  </si>
  <si>
    <t>Carta- Convite  034/2015</t>
  </si>
  <si>
    <t>Tomada de Preços  018/2015</t>
  </si>
  <si>
    <t>OBS: DI 013/2015 - DJAILSON FAZER ADITIVO</t>
  </si>
  <si>
    <t>11960,34</t>
  </si>
  <si>
    <t>CPLOSE - Comissão de Licitação de Obras e Serviços de Engenharia</t>
  </si>
  <si>
    <t>MAPA DEMONSTRATIVO DE  LICITAÇÕES</t>
  </si>
  <si>
    <t>UNIDADE: PREFEITURA MUNICIPAL DE SÃO LOURENÇO DA MATA</t>
  </si>
  <si>
    <r>
      <t xml:space="preserve"> </t>
    </r>
    <r>
      <rPr>
        <b/>
        <sz val="8"/>
        <rFont val="Arial"/>
        <family val="2"/>
      </rPr>
      <t>UNIDADE ORÇAMENTÁRIA</t>
    </r>
    <r>
      <rPr>
        <sz val="8"/>
        <rFont val="Arial"/>
        <family val="2"/>
      </rPr>
      <t xml:space="preserve">: </t>
    </r>
    <r>
      <rPr>
        <b/>
        <sz val="8"/>
        <rFont val="Arial"/>
        <family val="2"/>
      </rPr>
      <t>SECRETARIA MUNICIPAL DE INFRA-ESTRUTURA</t>
    </r>
  </si>
  <si>
    <t>JANEIRO A DEZEMBRO/2015</t>
  </si>
  <si>
    <t xml:space="preserve">Nº </t>
  </si>
  <si>
    <t>INDENTIF.</t>
  </si>
  <si>
    <t>Nº</t>
  </si>
  <si>
    <t>OBJETO</t>
  </si>
  <si>
    <t>VALOR     ORÇADO</t>
  </si>
  <si>
    <t>TIPO DE LICITAÇÃO</t>
  </si>
  <si>
    <t>DATA DO RECEB. DOC.e PROPOSTA</t>
  </si>
  <si>
    <t>NOME DOS PARTICIPANTES</t>
  </si>
  <si>
    <t>CNPJ DOS                                                PARTICIPANTES</t>
  </si>
  <si>
    <t>VALOR ADJUDICADO</t>
  </si>
  <si>
    <t>Fund. Legal</t>
  </si>
  <si>
    <t>Recurso</t>
  </si>
  <si>
    <t>Nº DO CONTRATO/EMPENHO</t>
  </si>
  <si>
    <t>DATA DO CONTRATO</t>
  </si>
  <si>
    <t>PROC.</t>
  </si>
  <si>
    <t>CERTAME</t>
  </si>
  <si>
    <t>Revogação</t>
  </si>
  <si>
    <t>Sim  (S)</t>
  </si>
  <si>
    <t>Anulação</t>
  </si>
  <si>
    <t>Não  (N)</t>
  </si>
  <si>
    <t>001</t>
  </si>
  <si>
    <t>Menor Preço</t>
  </si>
  <si>
    <t>___________________________________</t>
  </si>
  <si>
    <t>Presidente da CPLOSE</t>
  </si>
  <si>
    <t>Secretário da CPLOSE</t>
  </si>
  <si>
    <t>Membro da CPLOSE</t>
  </si>
  <si>
    <t>Outubro/2015 a  Dezembro/2015</t>
  </si>
  <si>
    <t xml:space="preserve">Tomada de Preços </t>
  </si>
  <si>
    <t xml:space="preserve">Carta- Convite  </t>
  </si>
  <si>
    <t>002</t>
  </si>
  <si>
    <t>003</t>
  </si>
  <si>
    <t>004</t>
  </si>
  <si>
    <t>005</t>
  </si>
  <si>
    <t>006</t>
  </si>
  <si>
    <t>007</t>
  </si>
  <si>
    <t xml:space="preserve">Carta- Convite   </t>
  </si>
  <si>
    <t xml:space="preserve">Carta- Convite </t>
  </si>
  <si>
    <t xml:space="preserve">Dispensa  </t>
  </si>
  <si>
    <t xml:space="preserve">Dispensa   </t>
  </si>
  <si>
    <t xml:space="preserve">Tomada de Preços  </t>
  </si>
  <si>
    <t xml:space="preserve">Tomada de Preços   </t>
  </si>
  <si>
    <t>001/15</t>
  </si>
  <si>
    <t>002/15</t>
  </si>
  <si>
    <t>003/15</t>
  </si>
  <si>
    <t>004/15</t>
  </si>
  <si>
    <t>005/15</t>
  </si>
  <si>
    <t>006/15</t>
  </si>
  <si>
    <t>007/15</t>
  </si>
  <si>
    <t>008/15</t>
  </si>
  <si>
    <t>009/15</t>
  </si>
  <si>
    <t>010/15</t>
  </si>
  <si>
    <t>011/15</t>
  </si>
  <si>
    <t>012/15</t>
  </si>
  <si>
    <t>013/15</t>
  </si>
  <si>
    <t>014/15</t>
  </si>
  <si>
    <t>015/15</t>
  </si>
  <si>
    <t>Recurso Próprio</t>
  </si>
  <si>
    <t>Não</t>
  </si>
  <si>
    <t>16/02/2015</t>
  </si>
  <si>
    <t>03.671.887/0001-38</t>
  </si>
  <si>
    <t>CONCLUÍDO</t>
  </si>
  <si>
    <t>12/02/2015</t>
  </si>
  <si>
    <t xml:space="preserve">03.661.951/0001-08 </t>
  </si>
  <si>
    <t>VIGO CONSTRUÇÕES E INSTALAÇÕES LTDA - EPP     CONSTRUTORA SANTA LEONOR LTDA                         SENTRA SERV. E EMPREEND. LTDA</t>
  </si>
  <si>
    <t>13/02/2015</t>
  </si>
  <si>
    <t xml:space="preserve">C &amp; C CONSTRUT. E PREST. DE SERV. LTDA                           MM SERV. E EMPREEND. EIRELI - ME                         VIGO CONSTRUÇÕES E INSTALAÇÕES LTDA - EPP </t>
  </si>
  <si>
    <t>20/02/2015</t>
  </si>
  <si>
    <t xml:space="preserve">C &amp; C CONSTRUT. E PREST. DE SERV. LTDA  CONSTRUTORA SANTA LEONOR   LTDA                   GTA CONSTRUÇÕES LTDA EPP      </t>
  </si>
  <si>
    <t>23/02/2015</t>
  </si>
  <si>
    <t>EMPRESA VENCEDORA</t>
  </si>
  <si>
    <t xml:space="preserve">VIGO CONSTRUÇÕES E INSTALAÇÕES LTDA - EPP </t>
  </si>
  <si>
    <t>26/02/2015</t>
  </si>
  <si>
    <t>SENTRA SERV. E EMPREEND. LTDA</t>
  </si>
  <si>
    <t>SENTRA SERV. E EMPREEND. LTDA   VASCONCELOS E MAGALHÃES EMPREENDIMENTOS LTDA                  CONSTRUTORA MATIAS SILVA LTDA</t>
  </si>
  <si>
    <t>12.020.437/0001-76</t>
  </si>
  <si>
    <t>BARROS CONSTRUÇÕES E SERVIÇOS LTDA.</t>
  </si>
  <si>
    <t>13.962.001/0001-69</t>
  </si>
  <si>
    <t xml:space="preserve">PONTUALIDADE </t>
  </si>
  <si>
    <t>REAL ENERGY</t>
  </si>
  <si>
    <t xml:space="preserve"> </t>
  </si>
  <si>
    <t>006/2016</t>
  </si>
  <si>
    <t>SANTA LEONOR</t>
  </si>
  <si>
    <t>RF</t>
  </si>
  <si>
    <t>BARROS</t>
  </si>
  <si>
    <t>CONVÊNIO</t>
  </si>
  <si>
    <t>CONTRATADO</t>
  </si>
  <si>
    <t>CONTRATO</t>
  </si>
  <si>
    <t>EXECUÇÃO</t>
  </si>
  <si>
    <t>CONCEDENTE</t>
  </si>
  <si>
    <t>RAZÃO SOCIAL</t>
  </si>
  <si>
    <t>PRAZO</t>
  </si>
  <si>
    <t>PRAZO ADITADO</t>
  </si>
  <si>
    <t>EXERCÍCIO: 2015</t>
  </si>
  <si>
    <t>UNIDADE:  PREFEITURA MUNICIPAL DE SÃO LOURENÇO DA MATA</t>
  </si>
  <si>
    <t>UNIDADE ORCAMENTÁRIA:  SECRETARIA MUNICIPAL DE INFRA-ESTRUTURA</t>
  </si>
  <si>
    <t>Nº/ANO</t>
  </si>
  <si>
    <t>REPASSE    (R$)</t>
  </si>
  <si>
    <t>CONTRAPARTIDA</t>
  </si>
  <si>
    <t>CNPJ</t>
  </si>
  <si>
    <t>DATA              INÍCIO</t>
  </si>
  <si>
    <t>VALOR      CONTRATADO</t>
  </si>
  <si>
    <t>DATA CONCLUSÃO/ PARALISAÇÃO</t>
  </si>
  <si>
    <t>VALOR ADITADO</t>
  </si>
  <si>
    <t>REAJUSTE  (R$)</t>
  </si>
  <si>
    <t>NATUREZA   DA                   DESPESA</t>
  </si>
  <si>
    <t>VALOR MEDIDO ACUMULADO</t>
  </si>
  <si>
    <t>VALOR PAGO ACUMULADO NO PERÍODO</t>
  </si>
  <si>
    <t>VALOR PAGO ACUMULADO NO EXERCÍCIO</t>
  </si>
  <si>
    <t>VALOR PAGO ACUMULADO NA OBRA OU SERVIÇO</t>
  </si>
  <si>
    <t>90 DIAS</t>
  </si>
  <si>
    <t>NÃO HOUVE</t>
  </si>
  <si>
    <t>10.536.997/0001-52</t>
  </si>
  <si>
    <t>05/06/2015</t>
  </si>
  <si>
    <t>150 DIAS</t>
  </si>
  <si>
    <t>63.181,65            7.512,30</t>
  </si>
  <si>
    <t>60 DIAS</t>
  </si>
  <si>
    <t>24/02/2015</t>
  </si>
  <si>
    <t>30 DIAS</t>
  </si>
  <si>
    <t>25/02/2015</t>
  </si>
  <si>
    <t>20.058.812/0001-03</t>
  </si>
  <si>
    <t>M&amp;M SERVIÇOS E EMPREENDIMENTOS EIRELE ME</t>
  </si>
  <si>
    <t>09/03/2015</t>
  </si>
  <si>
    <t>60 DIAS                  60 DIAS                  60 DIAS                  60 DIAS</t>
  </si>
  <si>
    <t>120 DIAS</t>
  </si>
  <si>
    <t>07/05/2015</t>
  </si>
  <si>
    <t>13.045.118/0001-88</t>
  </si>
  <si>
    <t>04/05/2015</t>
  </si>
  <si>
    <t>11/05/2015</t>
  </si>
  <si>
    <t>44905100</t>
  </si>
  <si>
    <t>74.726,77            30.124,20</t>
  </si>
  <si>
    <t>18.157,88           4.215,26</t>
  </si>
  <si>
    <t>16.357,88</t>
  </si>
  <si>
    <t>25/05/2015</t>
  </si>
  <si>
    <t>09.468.539/0001-44</t>
  </si>
  <si>
    <t>17/07/2015</t>
  </si>
  <si>
    <t>180 DIAS</t>
  </si>
  <si>
    <t>19/06/2015</t>
  </si>
  <si>
    <t>95.753,43           18.825,68          101.196,54        25.411,70</t>
  </si>
  <si>
    <t xml:space="preserve">33.738,10         14.614,33         25.796,40       </t>
  </si>
  <si>
    <t>17.331.335/0001-95</t>
  </si>
  <si>
    <t>C &amp; M CONSTRUTORA E PRESTADORA DE SERVIÇO9S LTDA</t>
  </si>
  <si>
    <t>29/06/2015</t>
  </si>
  <si>
    <t>07.468.856/0001-35</t>
  </si>
  <si>
    <t>CASAARTE CONSTRUÇÕES SERVIÇOS E COMÉRCIO LTDA</t>
  </si>
  <si>
    <t>10.622.270/0001-98</t>
  </si>
  <si>
    <t>RF ENGENHARIA LTDA - ME</t>
  </si>
  <si>
    <t>19.454.668/0001-37</t>
  </si>
  <si>
    <t>RB SERVIÇOS DE ENGENHARIA LTDA</t>
  </si>
  <si>
    <t>33903900</t>
  </si>
  <si>
    <t>20/08/2015</t>
  </si>
  <si>
    <t>240 DIAS</t>
  </si>
  <si>
    <t>17.633.457/0001-36</t>
  </si>
  <si>
    <t>M&amp;M EMPREENDIMENTOS E INCORPORAÇÃO LTDA</t>
  </si>
  <si>
    <t>17/12/2015</t>
  </si>
  <si>
    <t>MINISTÉRIO DA SAÚDE</t>
  </si>
  <si>
    <t>19/08/2015</t>
  </si>
  <si>
    <t>30 dias</t>
  </si>
  <si>
    <t>20/10/2015</t>
  </si>
  <si>
    <t>04.739.863/0001-36</t>
  </si>
  <si>
    <t>OBRA EM ANDAMENTO</t>
  </si>
  <si>
    <t>PONTUALIDADE CONSDTRUÇÕES LTDA EPP</t>
  </si>
  <si>
    <t>OBRA NÃO INICIADA</t>
  </si>
  <si>
    <t>11/06/2015</t>
  </si>
  <si>
    <t>2011</t>
  </si>
  <si>
    <t>12.854.865/0001-02</t>
  </si>
  <si>
    <t>CAEL - COELHO DE ANDRADE ENGENHARIA LTDA</t>
  </si>
  <si>
    <t>20 MESES</t>
  </si>
  <si>
    <t>300 DIAS</t>
  </si>
  <si>
    <t>2012</t>
  </si>
  <si>
    <t>40.869.463/0001-09</t>
  </si>
  <si>
    <t>ESSE - ENGENHARIA, SINALIZAÇÃO E SERVIÇOS ESPECIAIS LTDA</t>
  </si>
  <si>
    <t>PARALISADA</t>
  </si>
  <si>
    <t>04.891.901/0001-71</t>
  </si>
  <si>
    <t>CC ESTRADA CONSTRUTORA LTDA</t>
  </si>
  <si>
    <t>363.430-67/2012</t>
  </si>
  <si>
    <t>2013</t>
  </si>
  <si>
    <t>368.546-69/2011</t>
  </si>
  <si>
    <t>Ministério do Esporte</t>
  </si>
  <si>
    <t xml:space="preserve">180 DIAS             180 DIAS              180 DIAS                         </t>
  </si>
  <si>
    <t>Distrato dia 19/03/2015</t>
  </si>
  <si>
    <t>FEM</t>
  </si>
  <si>
    <t>156/2013</t>
  </si>
  <si>
    <t>05.654.826/0001-98</t>
  </si>
  <si>
    <t>ÁGIL EMPREENDIMENTOS E SERVIÇOS LTDA EPP</t>
  </si>
  <si>
    <t>2014</t>
  </si>
  <si>
    <t>24/04/2015</t>
  </si>
  <si>
    <t xml:space="preserve">120 DIAS             120 DIAS         120 DIAS                                                                                        </t>
  </si>
  <si>
    <t>351.546-07/2011</t>
  </si>
  <si>
    <t>05.130.068/0001-35</t>
  </si>
  <si>
    <t>DELPHI SERVIÇOS E COMÉRCIO LTDA</t>
  </si>
  <si>
    <t>22/09/2014</t>
  </si>
  <si>
    <t>30/09/2014</t>
  </si>
  <si>
    <t>60 DIAS                    60 DIAS</t>
  </si>
  <si>
    <t>10.829.193/0001-41</t>
  </si>
  <si>
    <t>TOP CONSTRUTORA LTDA</t>
  </si>
  <si>
    <t>19/09/2014</t>
  </si>
  <si>
    <t>02.072.733/0001-67</t>
  </si>
  <si>
    <t>144.397,90</t>
  </si>
  <si>
    <t>10/12/2014</t>
  </si>
  <si>
    <t>154/2014</t>
  </si>
  <si>
    <t>04.856.454/0001-10</t>
  </si>
  <si>
    <t>CIFRA ENGENHARIA E SERVIÇOS LTDA</t>
  </si>
  <si>
    <t>485.032,22</t>
  </si>
  <si>
    <t xml:space="preserve">150 DIAS             150 DIAS                                    </t>
  </si>
  <si>
    <t>M &amp; M EMPREENDIMENTOS E INCORPORAÇÃO LTDA</t>
  </si>
  <si>
    <t>45 DIAS</t>
  </si>
  <si>
    <t>C&amp;M CONSTRUTORA E PRESTADORA DE SERVIÇOS LTDA</t>
  </si>
  <si>
    <t>00.749.205/0001-74</t>
  </si>
  <si>
    <t>CONSTRUTORA INGAZEIRA LTDA EPP</t>
  </si>
  <si>
    <t xml:space="preserve">90 DIAS             90 DIAS              90 DIAS                         </t>
  </si>
  <si>
    <t>15/11/2014</t>
  </si>
  <si>
    <t>,</t>
  </si>
  <si>
    <t>KENNETH NASCIMENTO E CIA LTDA - EPP</t>
  </si>
  <si>
    <t>13045118/0001-88</t>
  </si>
  <si>
    <t>05.160.919/0001-66</t>
  </si>
  <si>
    <t>12 MESES</t>
  </si>
  <si>
    <t>MINISTÉRIO DAS CIDADES</t>
  </si>
  <si>
    <t>639..263,83</t>
  </si>
  <si>
    <t>CONTRUTORA METRÓPOLR LTDA</t>
  </si>
  <si>
    <t>373397-68/2011</t>
  </si>
  <si>
    <t>-10.005,25 183.085,31</t>
  </si>
  <si>
    <t xml:space="preserve">30 DIAS             30 DIAS              30 DIAS             30 DIAS               </t>
  </si>
  <si>
    <t>02/11/2015</t>
  </si>
  <si>
    <t>60 MESES</t>
  </si>
  <si>
    <t>60 dias</t>
  </si>
  <si>
    <t>01/04/2015</t>
  </si>
  <si>
    <t>135.839,41        186.633,85           40.822,73</t>
  </si>
  <si>
    <t>150 DIAS                   150 DIAS</t>
  </si>
  <si>
    <t xml:space="preserve">12257765000113002   12257765000113003  12257765000113004                  12257765000113005                  12257765000113001                              </t>
  </si>
  <si>
    <t>100349574/2012</t>
  </si>
  <si>
    <t>Contratação de Empresa de Engenharia para Reforma de Diversos Postos de Saúde e Unidades Médicas do Município de São Lourenço da Mata - PE</t>
  </si>
  <si>
    <t>Contratação de Empresa de Engenharia para  Melhoria de acesso e Trecho de Pavimentação no Assentamento do Colégio, Localiozado no Bairro de Matriz da Luz no Município de São Lourenço da Mata/PE</t>
  </si>
  <si>
    <t>Contratação de Empresa de Engenharia para  Revestimento de Canal em Pedra Rachão Próximo a Academia das Cidades Localizada no Bairro Capibaribe no Município de São Lourenço da Mata/PE</t>
  </si>
  <si>
    <t>Contratação de Empresa de Engenharia para  Locação de Trator Esteira para Execução de Serviços de Terraplenagem  no Lixão do Município de São Lourenço da Mata/PE</t>
  </si>
  <si>
    <t>Contratação de Empresa de Engenharia para  Execução de Serviços de Limpeza Urbana no Município de São Lourenço da Mata/PE</t>
  </si>
  <si>
    <t>ok</t>
  </si>
  <si>
    <t>PERÍODO DE REFERÊNCIA: JANEIRO A DEZEMBRO/2015</t>
  </si>
  <si>
    <t>MODALIDADE Nº DA LICITAÇÃO</t>
  </si>
  <si>
    <t>????</t>
  </si>
  <si>
    <t>Não Iniciada</t>
  </si>
  <si>
    <t>??????</t>
  </si>
  <si>
    <t>MINISTERIO DO TURISMO</t>
  </si>
  <si>
    <t>100963499/2013</t>
  </si>
  <si>
    <r>
      <t xml:space="preserve">180 DIAS    </t>
    </r>
    <r>
      <rPr>
        <sz val="7"/>
        <rFont val="Arial"/>
        <family val="2"/>
      </rPr>
      <t>PARALISAÇÃO</t>
    </r>
    <r>
      <rPr>
        <sz val="8"/>
        <rFont val="Arial"/>
        <family val="2"/>
      </rPr>
      <t xml:space="preserve">    180 DIAS   </t>
    </r>
    <r>
      <rPr>
        <sz val="7"/>
        <rFont val="Arial"/>
        <family val="2"/>
      </rPr>
      <t>PARALISAÇÃO</t>
    </r>
  </si>
  <si>
    <t xml:space="preserve"> 150 DIAS              150 DIAS             150 DIAS               </t>
  </si>
  <si>
    <t>1.956.855,63</t>
  </si>
  <si>
    <t>80.533,45            45.079,23</t>
  </si>
  <si>
    <t>03/12/2015</t>
  </si>
  <si>
    <t xml:space="preserve">90 DIAS                  90 DIAS                  </t>
  </si>
  <si>
    <t xml:space="preserve">30 DIAS                  30 DIAS             30 DIAS                  </t>
  </si>
  <si>
    <t>20 MESES            20 MESES      20 MESES</t>
  </si>
  <si>
    <t>300 DIAS           300 DIAS</t>
  </si>
  <si>
    <t xml:space="preserve">180 DIAS             180 DIAS                </t>
  </si>
  <si>
    <t>90 DIAS                  90 DIAS                  90 DIAS                  90 DIAS            90 DIAS                  90 DIAS                  90 DIAS                  90 DIAS</t>
  </si>
  <si>
    <t xml:space="preserve">180 DIAS             180 DIAS         180 DIAS                                                                                        </t>
  </si>
  <si>
    <t xml:space="preserve">90 DIAS             90 DIAS              </t>
  </si>
  <si>
    <t xml:space="preserve">90 DIAS             90 DIAS              90 DIAS            90 DIAS                90 DIAS                                                                          </t>
  </si>
  <si>
    <t xml:space="preserve">90 DIAS             90 DIAS              90 DIAS              90 DIAS                         </t>
  </si>
  <si>
    <t xml:space="preserve">180 DIAS                   </t>
  </si>
  <si>
    <t>01/12/2015</t>
  </si>
  <si>
    <t>60 DIAS             60 DIAS            60 DIAS             60 DIAS              60 DIAS             60 DIAS</t>
  </si>
  <si>
    <t>120 DIAS         120 DIAS          120 DIAS</t>
  </si>
  <si>
    <t xml:space="preserve">90 DIAS             90 DIAS              90 DIAS                               </t>
  </si>
  <si>
    <t xml:space="preserve">30.479,14    26.666,82              18.084,85       49.718,93           11.831,80             28.881,33       </t>
  </si>
  <si>
    <t>45 DIAS             45 DIAS            45 DIAS             45 DIAS              45 DIAS             45 DIAS          45 DIAS               45 DIAS</t>
  </si>
  <si>
    <t>2016</t>
  </si>
  <si>
    <t>Contratação da Empresa de Engenharia Para Execução de Serviços de Drenagem no Centro Social Urbano, no Centro do Município de São Lourenço da Mata-PE</t>
  </si>
  <si>
    <t>003/2016</t>
  </si>
  <si>
    <t>Dispensa   001/2016</t>
  </si>
  <si>
    <t>27/01/2016</t>
  </si>
  <si>
    <t>Contratação de Empresa Contratação de Empresa para Construção de Pavimento em Paralelepípedos e Drenagem em Diversas Ruas no Bairro do Pixete, no Município de São Lourenço da Mata-PE</t>
  </si>
  <si>
    <t>Carta- Convite  001/2016</t>
  </si>
  <si>
    <t>007/2016</t>
  </si>
  <si>
    <t>23/02/2016</t>
  </si>
  <si>
    <t>Contratação de Empresa de Engenharia Para Reforma da Praça da Bela Vista em frente ao Hotel Emoções, no Bairro da Bela Vista no Município de São Lourenço da Mata e Reforma da Praça da Bíblia Localizada na Rua Pedro Correia no Centro do Município de São Lourenço da Mata/PE</t>
  </si>
  <si>
    <t>Carta- Convite  002/2016</t>
  </si>
  <si>
    <t>PAU BRASIL CONSTRUTORA LTDA</t>
  </si>
  <si>
    <t>23.198.833/0001-04</t>
  </si>
  <si>
    <t>004/2016</t>
  </si>
  <si>
    <t>01/02/2016</t>
  </si>
  <si>
    <t>Carta- Convite  003/2016</t>
  </si>
  <si>
    <t>Carta- Convite  004/2016</t>
  </si>
  <si>
    <t>Carta- Convite  005/2016</t>
  </si>
  <si>
    <t>Carta- Convite  006/2016</t>
  </si>
  <si>
    <t>Contratação de Empresa de Engenharia para Reforma do Monumento do Santo São Lourenço da Mata Localizado na PE 005 e Reforma do Monumento do Santo São Lourenço da Mata Localizado na BR 408 no Município de São Lourenço da Mata/PE</t>
  </si>
  <si>
    <t>008/2016</t>
  </si>
  <si>
    <t>25/02/2016</t>
  </si>
  <si>
    <t>Contratação de Empresa para Reforma do Prédio da Prefeitura Municipal Localizada em Frente a Praça Dr. Araújo Sobrinho, no Centro do Município de São Lourenço da Mata/PE</t>
  </si>
  <si>
    <t>Contratação de Empresa de Engenharia para Reforma do Canteiro Localizado no Retorno da Rua Almirante Tamandaré, Centro do Município de São Lourenço da Mata/PE; Reforma dos Canteiros da Parada do Interior, Localizado na Avenida Dr. Francisco Correia, Centro do Município de São Lourenço da Mata/PE e Reforma dos Canteiros Localizados na Avenida Olívio Costa, Centro do Município de São Lourenço da Mata/PE</t>
  </si>
  <si>
    <t>009/2016</t>
  </si>
  <si>
    <t>26/02/2016</t>
  </si>
  <si>
    <t>Contratação de Empresa de Engenharia para Construção de Quadra de Areia com Alambrado e Contenção de Encostas, Localizado no Bairro de Barro vermelho no Município de São Lourenço da Mata/PE</t>
  </si>
  <si>
    <r>
      <t>M&amp;M EMPREENDIMENTO E INCORPORAÇÃO LTDA</t>
    </r>
    <r>
      <rPr>
        <sz val="10"/>
        <rFont val="Times New Roman"/>
        <family val="1"/>
      </rPr>
      <t xml:space="preserve"> ME</t>
    </r>
  </si>
  <si>
    <t>010/2016</t>
  </si>
  <si>
    <t>Dispensa   002/2016</t>
  </si>
  <si>
    <t>Contratação de Empresa de Engenharia para Execução de Reforma da Praça Princesa Isabel, Localizada na Av. Belmiro Correia, Centro no Município de São Lourenço da Mata-PE</t>
  </si>
  <si>
    <t>D’ GUILHERME CONSTRUTORA EIRELI ME</t>
  </si>
  <si>
    <t>23.159.046/0001-53</t>
  </si>
  <si>
    <t>04/02/2016</t>
  </si>
  <si>
    <t>Contratação de Empresa de Engenharia para Recuperação de Estradas Rurais no Município de São Lourenço da Mata/PE</t>
  </si>
  <si>
    <t>Tomada de Preços 001/2016</t>
  </si>
  <si>
    <t>Contratação de Empresa de Engenharia para Locação de Retro Escavadeira para Variados Serviços em Diversos Bairros no Município de São Lourenço da Mata/PE</t>
  </si>
  <si>
    <t>Tomada de Preços 002/2016</t>
  </si>
  <si>
    <t>Contratação de empresa de engenharia para Serviços de Recuperações de Paralelepípedos Graníticos e Drenagem em Diversos Locais, no Município de São Lourenço da Mata/PE</t>
  </si>
  <si>
    <t>Tomada de Preços 003/2016</t>
  </si>
  <si>
    <t>Concorrência Pública Nº 001/2016</t>
  </si>
  <si>
    <t>Contratação de Empresa de Engenharia Para Reforma da Quadra de Areia com Alambrado e Reforma da Praça José Antônio da Silva, Localizados Rua Guabiraba na Vila Ercina Lapenda  no Município de São Lourenço da Mata/PE</t>
  </si>
  <si>
    <t>Contratação de Empresa de Engenharia para Execução de Pavimentação Asfáltica de Área Externa da Escola Técnica Eduardo Henrique Accioly Campos no Centro do Município de São Lourenço da Mata/PE</t>
  </si>
  <si>
    <t>Carta- Convite  007/2016</t>
  </si>
  <si>
    <t>01/03/2016</t>
  </si>
  <si>
    <t>011/2016</t>
  </si>
  <si>
    <t>Contratação de Empresa de Engenharia para Construção de Unidade Básica de Saúde no Engenho Concórdia no Município de São Lourenço da Mata/PE</t>
  </si>
  <si>
    <t>Carta- Convite  008/2016</t>
  </si>
  <si>
    <t>018/2016</t>
  </si>
  <si>
    <t>30/03/2016</t>
  </si>
  <si>
    <t>180 dias</t>
  </si>
  <si>
    <t>Contratação de Empresa para Locação de Retro Escavadeira para Variados Serviços em Diversos Bairros no Município de São Lourenço da Mata/PE</t>
  </si>
  <si>
    <t>Tomada de Preços 004/2016</t>
  </si>
  <si>
    <t>Carta- Convite  009/2016</t>
  </si>
  <si>
    <t>Contratação de Empresa de Engenharia para Execução de Serviços de Pintura na Secretaria de Finanças, Localizada na Rua Dr. Joaquim Nabuco, nº 14, Centro do Município de São Lourenço da Mata/PE</t>
  </si>
  <si>
    <t>019/2016</t>
  </si>
  <si>
    <t>31/03/2016</t>
  </si>
  <si>
    <t>Contratação da Empresa de Engenharia para Execução de Construção de Pedestal para o Busto do Governador  Eduardo Henrique Accioly Campos, Localizado na Escola Técnica Estadual, Centro do Município de São Lourenço da Mata-PE</t>
  </si>
  <si>
    <t>Dispensa   003/2016</t>
  </si>
  <si>
    <t>012/2016</t>
  </si>
  <si>
    <t>03/03/2016</t>
  </si>
  <si>
    <t>13.851,10</t>
  </si>
  <si>
    <t>Dispensa   004/2016</t>
  </si>
  <si>
    <t>Contratação da Empresa de Engenharia para Instalação de Aparelho de Ar Condicionado Tipo Split, Cap 7000/9000 BTUS em Parede, Incluindo os Serviços e Materiais de Instalações dos equipamentos (Evaporador/Condensador), como Solda, Dreno, Tubulação de Cobre (média 3M) Gás e Instalação de Suporte para Condensador em Cantoneiras “L” de ¾” , na Escola Apolônio Sales , Localizada no Bairro da Chã da Tábua no Município de São Lourenço da Mata-PE</t>
  </si>
  <si>
    <t>013/2016</t>
  </si>
  <si>
    <t>04/03/2016</t>
  </si>
  <si>
    <t>11/03/2016</t>
  </si>
  <si>
    <r>
      <t>Contratação de Empresa de Engenharia para</t>
    </r>
    <r>
      <rPr>
        <sz val="10"/>
        <rFont val="Times New Roman"/>
        <family val="1"/>
      </rPr>
      <t xml:space="preserve"> </t>
    </r>
    <r>
      <rPr>
        <b/>
        <sz val="10"/>
        <color rgb="FF000000"/>
        <rFont val="Times New Roman"/>
        <family val="1"/>
      </rPr>
      <t>Recuperação de Drenagem, Reposição de Pavimento e Pavimentação de Trechos da Rua Aurora, Localizada no Bairro da Várzea Fria, no Município de São Lourenço da Mata/PE</t>
    </r>
  </si>
  <si>
    <t>Carta- Convite  010/2016</t>
  </si>
  <si>
    <t>017/2016</t>
  </si>
  <si>
    <t>29/03/2016</t>
  </si>
  <si>
    <t>Dispensa   005/2016</t>
  </si>
  <si>
    <t>Dispensa   006/2016</t>
  </si>
  <si>
    <t>Reforma da Praça Ercina Lapenda na Rua João Severino (Por Trás da Igreja Matriz), Centro do Município de São Lourenço da Mata-PE</t>
  </si>
  <si>
    <t>014/2016</t>
  </si>
  <si>
    <t>07/03/2016</t>
  </si>
  <si>
    <t>Contratação da Empresa de Engenharia para Execução de Revitalização da Piscina da Escola Tiradentes, no Distrito de Matriz da Luz, no Município de São Lourenço da Mata-PE</t>
  </si>
  <si>
    <t>015/2016</t>
  </si>
  <si>
    <t>Contratação de Empresa de Engenharia para Reforma do Prédio da Prefeitura Municipal Localizada em Frente a Praça Dr. Araújo Sobrinho, no Centro do Município de São Lourenço da Mata/PE</t>
  </si>
  <si>
    <t>Contratação de Empresa de Engenharia para Serviços de Drenagem de Águas Servidas na Rua Santelmo Junto a Escola Senador José Ermírio de Moraes, no Bairro de Tiúma, no Município de São Lourenço da Mata/PE</t>
  </si>
  <si>
    <t>Dispensa   007/2016</t>
  </si>
  <si>
    <t>M A DA SILVA CONSTRUTORA E SERVIÇOS EIRELI - EPP</t>
  </si>
  <si>
    <t>23.431.088/0001-00</t>
  </si>
  <si>
    <t>016/2016</t>
  </si>
  <si>
    <t>Contratação de Empresa de Engenharia para Execução de Reforma na Sede da Secretaria de Turismo, Cultura e Esportes, Localizada na Rua João Severiano, s/n, em frente à Praça Dr. Araújo Sobrinho, Centro, no Município de São Lourenço da Mata/PE</t>
  </si>
  <si>
    <t>Carta- Convite  011/2016</t>
  </si>
  <si>
    <t>Contratação da Empresa de Engenharia para Execução de Reforma do Laboratório do Hospital Petronila Campos, Localizado na Av. Mário Henrique Mafra, n° 235, no Bairro de Parque Capibaribe, no Município de São Lourenço da Mata-PE</t>
  </si>
  <si>
    <t>Carta- Convite  012/2016</t>
  </si>
  <si>
    <t>008</t>
  </si>
  <si>
    <t>009</t>
  </si>
  <si>
    <t>010</t>
  </si>
  <si>
    <t>011</t>
  </si>
  <si>
    <t>012</t>
  </si>
  <si>
    <t>013</t>
  </si>
  <si>
    <t>014</t>
  </si>
  <si>
    <t>015</t>
  </si>
  <si>
    <t>016</t>
  </si>
  <si>
    <t>017</t>
  </si>
  <si>
    <t>018</t>
  </si>
  <si>
    <t>019</t>
  </si>
  <si>
    <t>020</t>
  </si>
  <si>
    <t>021</t>
  </si>
  <si>
    <t>022</t>
  </si>
  <si>
    <t>023</t>
  </si>
  <si>
    <t>RELATÓRIO DE PAGAMENTO DE 04/01/2016 A 31/03/2016</t>
  </si>
  <si>
    <t>COM RESTOS A PAGAR DE 2015</t>
  </si>
  <si>
    <t>INFRAESTRUTURA</t>
  </si>
  <si>
    <t>SAÚDE</t>
  </si>
  <si>
    <t>ASSISTÊNCIA</t>
  </si>
  <si>
    <t>EDUCAÇÃO</t>
  </si>
  <si>
    <t>024</t>
  </si>
  <si>
    <t>025</t>
  </si>
  <si>
    <t>EXERCÍCIO: 2016</t>
  </si>
  <si>
    <t>240 DIAS          240 DIAS</t>
  </si>
  <si>
    <t>MM SERVIÇOS E EMPREENDIMENTOS EIRELE ME</t>
  </si>
  <si>
    <r>
      <t xml:space="preserve">VALOR PAGO ACUMULADO NO PERÍODO </t>
    </r>
    <r>
      <rPr>
        <b/>
        <sz val="15"/>
        <color rgb="FFFF0000"/>
        <rFont val="Arial"/>
        <family val="2"/>
      </rPr>
      <t>2016</t>
    </r>
  </si>
  <si>
    <r>
      <t xml:space="preserve">VALOR PAGO ACUMULADO NO EXERCÍCIO </t>
    </r>
    <r>
      <rPr>
        <b/>
        <sz val="15"/>
        <color rgb="FFFF0000"/>
        <rFont val="Arial"/>
        <family val="2"/>
      </rPr>
      <t>2015</t>
    </r>
  </si>
  <si>
    <t>002/2016</t>
  </si>
  <si>
    <t>15/01/2016</t>
  </si>
  <si>
    <t>331.868,16</t>
  </si>
  <si>
    <t>001/2016</t>
  </si>
  <si>
    <t>11/01/2016</t>
  </si>
  <si>
    <t>170.536,43</t>
  </si>
  <si>
    <t>120</t>
  </si>
  <si>
    <t>41.116.138/0001-38</t>
  </si>
  <si>
    <t>REAL ENERGY LTDA</t>
  </si>
  <si>
    <t>97.430,37</t>
  </si>
  <si>
    <t>01/04/2016</t>
  </si>
  <si>
    <t xml:space="preserve">                                                                                                                                                                                                                                                                                                                                                                                                                                                                                                                                                                                                                                                                                                                                                                                                                                                                                                                                                                                                                                                                                                                                                                                                                                                                                                                                                                                                                                                                                                                                                                                                                       </t>
  </si>
  <si>
    <t>60 DIAS                  60 DIAS                  60 DIAS                  60 DIAS               60 DIAS</t>
  </si>
  <si>
    <t>95.753,43           18.825,68          101.196,54        25.411,70       23.622,38      18.232,20</t>
  </si>
  <si>
    <t xml:space="preserve">33.738,10         14.614,33           </t>
  </si>
  <si>
    <t>Tomada de Preços  011/2015</t>
  </si>
  <si>
    <t>90 DIAS           90 DIAS</t>
  </si>
  <si>
    <t xml:space="preserve">150 DIAS </t>
  </si>
  <si>
    <t>360 DIAS</t>
  </si>
  <si>
    <t>300 DIAS           300 DIAS     300 DIAS</t>
  </si>
  <si>
    <t>CONTRUTORA METRÓPOLE LTDA</t>
  </si>
  <si>
    <t>90 DIAS                  90 DIAS                                 90 DIAS</t>
  </si>
  <si>
    <t>18.157,88        4215,26</t>
  </si>
  <si>
    <t>150 DIAS      150 DIAS</t>
  </si>
  <si>
    <t>74.726,77            30.124,20      12372,87</t>
  </si>
  <si>
    <t>-10.005,25 183.085,31        235.100,93</t>
  </si>
  <si>
    <r>
      <t>Contratação de Empresa de Engenharia para</t>
    </r>
    <r>
      <rPr>
        <sz val="10"/>
        <rFont val="Times New Roman"/>
        <family val="1"/>
      </rPr>
      <t xml:space="preserve"> </t>
    </r>
    <r>
      <rPr>
        <sz val="10"/>
        <color rgb="FF000000"/>
        <rFont val="Times New Roman"/>
        <family val="1"/>
      </rPr>
      <t>Recuperação de Drenagem, Reposição de Pavimento e Pavimentação de Trechos da Rua Aurora, Localizada no Bairro da Várzea Fria, no Município de São Lourenço da Mata/PE</t>
    </r>
  </si>
  <si>
    <t xml:space="preserve">80.533,45            </t>
  </si>
  <si>
    <t>distratada</t>
  </si>
  <si>
    <t>PERÍODO DE REFERÊNCIA: JANEIRO A DEZEMBRO</t>
  </si>
  <si>
    <t>030/2016</t>
  </si>
  <si>
    <t>26/04/2016</t>
  </si>
  <si>
    <t>21478,21                       9.388,54</t>
  </si>
  <si>
    <t>020/2016</t>
  </si>
  <si>
    <t>08/04/2016</t>
  </si>
  <si>
    <t>Tomada de Preços 005/2016</t>
  </si>
  <si>
    <t>Dispensa 008/2016</t>
  </si>
  <si>
    <t>Dispensa 009/2016</t>
  </si>
  <si>
    <t>Dispensa 010/2016</t>
  </si>
  <si>
    <t>Dispensa 011/2016</t>
  </si>
  <si>
    <t>Dispensa 012/2016</t>
  </si>
  <si>
    <t>Carta-Convite 013/2016</t>
  </si>
  <si>
    <t>Carta-Convite 014/2016</t>
  </si>
  <si>
    <t>Tomada de Preços 006/2016</t>
  </si>
  <si>
    <t>Carta- Convite  015/2016</t>
  </si>
  <si>
    <t>Carta- Convite  016/2016</t>
  </si>
  <si>
    <t>Dispensa 013/2016</t>
  </si>
  <si>
    <t>Carta- Convite  017/2016</t>
  </si>
  <si>
    <t>Carta- Convite  018/2016</t>
  </si>
  <si>
    <t>Dispensa 014/2016</t>
  </si>
  <si>
    <t>Dispensa 015/2016</t>
  </si>
  <si>
    <t>Dispensa 016/2016</t>
  </si>
  <si>
    <t>Dispensa 017/2016</t>
  </si>
  <si>
    <t>Dispensa 018/2016</t>
  </si>
  <si>
    <t>Dispensa 019/2016</t>
  </si>
  <si>
    <t>Carta-Convite 019/2016</t>
  </si>
  <si>
    <t>Tomada de Preços 007/2016</t>
  </si>
  <si>
    <t>Concorrência Pública Nº 002/2016</t>
  </si>
  <si>
    <t>Contratação de Empresa de Engenharia para Reforma da Praça Timulião Maranhão, Localizada no Centro do Município de São Lourenço da Mata/PE</t>
  </si>
  <si>
    <t>029/2016</t>
  </si>
  <si>
    <t>CONTRATAÇÃO DA EMPRESA DE ENGENHARIA PARA REFORMA DA CRECHE UMUARAMA LOCALIZADA NA 1ª TRAVESSA DUQUE DE CAXIAS, Nº 29, BAIRRO UMUARAMA, NO MUNICÍPIO DE SÃO LOURENÇO DA MATA-PE</t>
  </si>
  <si>
    <t>024/2016</t>
  </si>
  <si>
    <t>18/04/2016</t>
  </si>
  <si>
    <t>Contratação da Empresa de Engenharia para Execução de Reforma da Sede da Guarda Municipal, Localizada na Rua João Teixeira, no Centro do Município de São Lourenço da Mata-PE</t>
  </si>
  <si>
    <t>025/2016</t>
  </si>
  <si>
    <t>026/2016</t>
  </si>
  <si>
    <t>21/03/2016</t>
  </si>
  <si>
    <t>Contratação da Empresa de Engenharia para Serviços de Drenagem da Rua Leopoldina, Localizada no Bairro Capibaribe, no Município de São Lourenço da Mata-PE</t>
  </si>
  <si>
    <t>027/2016</t>
  </si>
  <si>
    <t>19/04/2016</t>
  </si>
  <si>
    <t>Contratação de Empresa de Engenharia para Reforma da Praça Localizada no Bairro Barro Vermelho, no Município de São Lourenço da Mata-PE</t>
  </si>
  <si>
    <t>028/2016</t>
  </si>
  <si>
    <t>Contratação de Empresa de Engenharia para Execução de Serviços de Drenagem em Diversos Locais do Município de São Lourenço da Mata-PE</t>
  </si>
  <si>
    <t>034/2016</t>
  </si>
  <si>
    <t>10/05/2016</t>
  </si>
  <si>
    <t>Contratação de Empresa de Engenharia para Execução de Reforma do Centro de Reabilitação de Fisioterapia, Localizada na Rua Alcântara, no Centro do Município de São Lourenço da Mata-PE</t>
  </si>
  <si>
    <t>033/2016</t>
  </si>
  <si>
    <t>09/05/2016</t>
  </si>
  <si>
    <t>Contratação de Empresa para Serviços de Pavimentação e Drenagem em Diversas Ruas do Bairro Rosina Labanca no Município de São Lourenço da Mata/PE</t>
  </si>
  <si>
    <t>041/2016</t>
  </si>
  <si>
    <t>23/05/2016</t>
  </si>
  <si>
    <t>Contratação de Empresa de Engenharia para Execução de Reforma no Centro Social Urbano, Localizado na Av. Miguel Labanca, Centro do Município de São Lourenço da Mata-PE</t>
  </si>
  <si>
    <t>ATLANTA HOLDING IMPLEMENTOS PARTICIPAÇÕES E ENGENHARIA LTDA ME</t>
  </si>
  <si>
    <t>13.753.226/0001-05</t>
  </si>
  <si>
    <t>042/2016</t>
  </si>
  <si>
    <t>02/06/2016</t>
  </si>
  <si>
    <t>Contratação de Empresa de Engenharia para Execução de Reforma da Junta Militar, Localizada entre as Ruas: João Silveira e Severino Leite Amazonas, Centro - São Lourenço da Mata-PE</t>
  </si>
  <si>
    <t>19.068.549/0001-46</t>
  </si>
  <si>
    <t>F E J CONSTRUÇÃO E SERVIÇOS LTDA</t>
  </si>
  <si>
    <t>039/2016</t>
  </si>
  <si>
    <t>Contratação de Empresa de Engenharia para Recuperação de Iluminação do Campo do Bem-Te-Vi, Localizado no Bairro Capibaribe, no Município de São Lourenço da Mata-PE</t>
  </si>
  <si>
    <t>032/2016</t>
  </si>
  <si>
    <t>04/05/2016</t>
  </si>
  <si>
    <t>Contratação de Empresa de Engenharia para Construção de Gradil no Entorno da Igreja Matriz Próximo a Praça Araújo Sobrinho, Centro no Município de São Lourenço da Mata-PE</t>
  </si>
  <si>
    <t>038/2016</t>
  </si>
  <si>
    <t>18/05/2016</t>
  </si>
  <si>
    <t>Contratação da Empresa de Engenharia para Construção de 20 (Vinte) Pórticos em Estrutura Metálica, nas Entradas dos Bairros do Município de São Lourenço da Mata-PE</t>
  </si>
  <si>
    <t>Contratação da Empresa de Engenharia para Fornecimento e Instalação de Barras de Futebol para Diversos Campos de Futebol no Município de São Lourenço da Mata-PE</t>
  </si>
  <si>
    <t>035/2016</t>
  </si>
  <si>
    <t>16/05/2016</t>
  </si>
  <si>
    <t>Contratação de Empresa de Engenharia para Reforma da Praça da Televisão , Localizada na Rua Nova Esperança A, no Bairro do Pixete no Município de São Lourenço da Mata-PE</t>
  </si>
  <si>
    <t>036/2016</t>
  </si>
  <si>
    <t>Contratação da Empresa de Engenharia para Execução de Drenagem em Canal por trás da Casa nº 49 da Rua Dr. José Sotero Souza, Centro do Município de São Lourenço da Mata-PE</t>
  </si>
  <si>
    <t>037/2016</t>
  </si>
  <si>
    <t>Contratação de Empresa de Engenharia para Serviços de Poda de Árvores com Limpeza de Galhos Secos e Retirada de Parasitas em Diversos Bairros do Município de São Lourenço da Mata/PE, no Município de São Lourenço da Mata-PE</t>
  </si>
  <si>
    <t>043/2016</t>
  </si>
  <si>
    <t>10/06/2016</t>
  </si>
  <si>
    <t>Contratação da Empresa de Engenharia para
Manutenção de Iluminação Pública nas Vias Urbanas em
Diversos Bairros do Município de São Lourenço da Mata/PE</t>
  </si>
  <si>
    <t>Contratação de Empresa de Engenharia para Execução dos Serviços de Reforma do Ginásio de Esportes Pereirão (3ª Etapa) , Centro do Município de São Lourenço da Mata/PE</t>
  </si>
  <si>
    <t>Contratação de Empresa de Engenharia Para Manutenção de Iluminação Pública Br-408, Trecho Arena Pernambuco no Município de São Lourenço da Mata/PE</t>
  </si>
  <si>
    <t>044/2016</t>
  </si>
  <si>
    <t>15/06/2016</t>
  </si>
  <si>
    <t>Contratação da Empresa de Engenharia para Limpeza de Açude no Distrito de Lages no Município de São Lourenço da Mata/PE</t>
  </si>
  <si>
    <t>Contratação de empresa de engenharia para Serviços de Manutenção do Sistema de Iluminação Pública no Município de São Lourenço da Mata - PE</t>
  </si>
  <si>
    <t>021/2016</t>
  </si>
  <si>
    <t>CONTRATAÇÃO DA EMPRESA DE ENGENHARIA PARA REFORMA DO PRÉDIO DA BIBLIOTECA MUNICIPAL, NO MUNICÍPIO DE SÃO LOURENÇO DA MATA-PE</t>
  </si>
  <si>
    <t>CONCLUÍDA</t>
  </si>
  <si>
    <t>30479,14        26666,82          18084,85         49718,936          11.831,80             28.881,33        49.136,17</t>
  </si>
  <si>
    <t>022/2016</t>
  </si>
  <si>
    <t>15/04/2016</t>
  </si>
  <si>
    <t xml:space="preserve">60 DIAS                  60 DIAS                  60 DIAS                  60 DIAS               60 DIAS                 60 DIAS                  60 DIAS               60 DIAS </t>
  </si>
  <si>
    <t>90 DIAS                  90 DIAS                                 90 DIAS                90 DIAS</t>
  </si>
  <si>
    <t>90 DIAS           90 DIAS             90 DIAS</t>
  </si>
  <si>
    <t>30479,14        26.666,82          18.084,85         49.718,936          11.831,80             28.881,33        49.136,17        17.813,91      12.271,47</t>
  </si>
  <si>
    <t>150 DIAS                          150 DIAS</t>
  </si>
  <si>
    <t>41.235.813/0001-48</t>
  </si>
  <si>
    <t>VALE DO PUIU LTDA EPP</t>
  </si>
  <si>
    <t>040/2016</t>
  </si>
  <si>
    <t>24/05/2016</t>
  </si>
  <si>
    <t>597.322,66</t>
  </si>
  <si>
    <t>30 DIAS             30 DIAS            30 DIAS</t>
  </si>
  <si>
    <t>031/2016</t>
  </si>
  <si>
    <t>045/2016</t>
  </si>
  <si>
    <r>
      <t xml:space="preserve">180 DIAS    </t>
    </r>
    <r>
      <rPr>
        <sz val="7"/>
        <rFont val="Arial"/>
        <family val="2"/>
      </rPr>
      <t>PARALISAÇÃO</t>
    </r>
    <r>
      <rPr>
        <sz val="8"/>
        <rFont val="Arial"/>
        <family val="2"/>
      </rPr>
      <t xml:space="preserve">    ADEQUAÇÃO   RETOMADA   180 DIAS   </t>
    </r>
    <r>
      <rPr>
        <sz val="7"/>
        <rFont val="Arial"/>
        <family val="2"/>
      </rPr>
      <t>PARALISAÇÃO   READEQUAÇÃO     RETOMADA</t>
    </r>
  </si>
  <si>
    <t>3.194,77                                                                 36.321,42</t>
  </si>
  <si>
    <t>150 DIAS           150 DIAS</t>
  </si>
  <si>
    <t>74.726,77            30.124,20      12.372,87</t>
  </si>
  <si>
    <t>150 DIAS               150 DIAS</t>
  </si>
  <si>
    <t>DISTRATADA</t>
  </si>
  <si>
    <t>90 DIAS             90 DIAS</t>
  </si>
  <si>
    <t>023/2016</t>
  </si>
  <si>
    <t>44905101</t>
  </si>
  <si>
    <t xml:space="preserve">VALOR PAGO ACUMULADO NO PERÍODO </t>
  </si>
  <si>
    <t xml:space="preserve">VALOR PAGO ACUMULADO NO EXERCÍCIO </t>
  </si>
  <si>
    <t>300 DIAS           300 DIAS         300 DIAS</t>
  </si>
  <si>
    <t xml:space="preserve">30 DIAS             30 DIAS              30 DIAS             30 DIAS       PARALISAÇÃO    RETOMADA             </t>
  </si>
  <si>
    <t xml:space="preserve">180 DIAS          180 DIAS        PARALISADA              </t>
  </si>
  <si>
    <t>PARALISAÇÃO</t>
  </si>
  <si>
    <t>150 DIAS                   150 DIAS        PARALISAÇÃO</t>
  </si>
  <si>
    <t xml:space="preserve">PARALISAÇÃO   RETOMADA     PARALISAÇÃO    </t>
  </si>
  <si>
    <t>150 DIAS                       PARALISAÇÃO</t>
  </si>
  <si>
    <t xml:space="preserve">90 DIAS             90 DIAS              90 DIAS                  90 DIAS                      </t>
  </si>
  <si>
    <t>03/032016</t>
  </si>
  <si>
    <t>29/04/2016</t>
  </si>
  <si>
    <t>21/12/2015</t>
  </si>
  <si>
    <t>12/02/2016</t>
  </si>
  <si>
    <t>07/04/2016</t>
  </si>
  <si>
    <t>06/04/2016</t>
  </si>
  <si>
    <t xml:space="preserve">150 DIAS                  150 DIAS          150 DIAS                                    </t>
  </si>
  <si>
    <t xml:space="preserve">90 DIAS             90 DIAS              90 DIAS            90 DIAS            90 DIAS            90 DIAS                             </t>
  </si>
  <si>
    <t>90 DIAS              90 DIAS</t>
  </si>
  <si>
    <t>revogada</t>
  </si>
  <si>
    <t>3º TRIMESTRE/2016</t>
  </si>
  <si>
    <t>Contratação de Empresa de Engenharia para Reforma do Mercado Municipal de Tiúma no Município de São Lourenço da Mata/PE</t>
  </si>
  <si>
    <t>SENTRA SERVIÇOS E EMPREENDIM,ENTOS LTDA</t>
  </si>
  <si>
    <t>057/2016</t>
  </si>
  <si>
    <t>30/08/2016</t>
  </si>
  <si>
    <t>120 dias</t>
  </si>
  <si>
    <t>Tomada de Preços 008/2016</t>
  </si>
  <si>
    <t>Tomada de Preços 009/2016</t>
  </si>
  <si>
    <t>Tomada de Preços 010/2016</t>
  </si>
  <si>
    <t>Contratação de Empresa de Engenharia para Reforma do Pátio da Feira Amaro Alves de Souza, no Centro do Município de São Lourenço da Mata/PE</t>
  </si>
  <si>
    <t>058/2016</t>
  </si>
  <si>
    <t>Contratação de Empresa de Engenharia para Construção de Upinha , Localizada no Distrito de Matriz da Luz no Município de São Lourenço da Mata/PE</t>
  </si>
  <si>
    <t>048/2016</t>
  </si>
  <si>
    <t>25/07/2016</t>
  </si>
  <si>
    <t>Tomada de Preços 011/2016</t>
  </si>
  <si>
    <t>Contratação de Empresa de Engenharia para Execução de Urbanização em Trecho da PE-05, Trecho entre Academia das Cidades e Limite dos Municípios São Lourenço e Camaragibe, no Município de São Lourenço da Mata-PE</t>
  </si>
  <si>
    <t>KENNETH NASCIMENTO E CIA LTDA EPP</t>
  </si>
  <si>
    <t>059/2016</t>
  </si>
  <si>
    <t>06/09/2016</t>
  </si>
  <si>
    <t>Carta- Convite  019/2016</t>
  </si>
  <si>
    <r>
      <t>D’ GUILHERME CONSTRUTORA EIRELI ME</t>
    </r>
    <r>
      <rPr>
        <b/>
        <sz val="11"/>
        <rFont val="Times New Roman"/>
        <family val="1"/>
      </rPr>
      <t xml:space="preserve"> </t>
    </r>
  </si>
  <si>
    <t>049/2016</t>
  </si>
  <si>
    <t>28/07/2016</t>
  </si>
  <si>
    <t>Contratação da Empresa de Engenharia para Pintura das Fachadas da Igreja Matriz São Lourenço Mártir (Patrimônio Histórico Tombado), Centro do Município de São Lourenço da Mata/PE</t>
  </si>
  <si>
    <t>Carta- Convite  020/2016</t>
  </si>
  <si>
    <t>Contratação da Empresa de Engenharia para  Instalações Elétricas na Área do Pátio de Eventos e Ruas Adjacentes do Centro do Município de São Lourenço da Mata/PE</t>
  </si>
  <si>
    <t>Carta- Convite  021/2016</t>
  </si>
  <si>
    <t>050/2016</t>
  </si>
  <si>
    <t>04/08/2016</t>
  </si>
  <si>
    <t>Contratação de Empresa de Engenharia para Reforma dos Postos de Saúde Centro de Especialidades Médicas - PAM, Centro da Saúde Dr. Aristeu Chaves, Centro de Saúde São Lourenço da Mata - Avenida 02, Centro Médico Odontológico Capibaribe - Centro Médico, Alto Santo Antônio - Prego, Beira Rio, Lages, Matriz da Luz, Muribara, Nova Tiúma, Rosina Labanca, São João São Paulo, Umuarama e Várzea Fria.do Município de São Lourenço da Mata/PE</t>
  </si>
  <si>
    <t>Carta- Convite  022/2016</t>
  </si>
  <si>
    <t>Contratação da Empresa de Engenharia Para Fornecimento e Espalhamento de Brita Corrida na Área de Eventos do Centro do Município de São Lourenço da Mata/PE</t>
  </si>
  <si>
    <t>CASAARTE CONSTRUÇÕES, SERVIÇOS E COMÉRCIO LTDA</t>
  </si>
  <si>
    <t>051/2016</t>
  </si>
  <si>
    <t>05/08/2016</t>
  </si>
  <si>
    <t>Tomada de Preços 012/2016</t>
  </si>
  <si>
    <t>Contratação de Empresa de Engenharia para Pavimentação e Drenagem na Rua das Rosas e Rua da Prata, nos Bairros de Penedo e Muribara, respectivamente, no Município de São Lourenço da Mata/PE</t>
  </si>
  <si>
    <t>054/2016</t>
  </si>
  <si>
    <t>22/08/2016</t>
  </si>
  <si>
    <t>Contratação de Empresa de Engenharia para Pavimentação e Drenagem na Rua ao Lado do Banco Itaú, Centro do Município de São Lourenço da Mata/PE</t>
  </si>
  <si>
    <t>Carta- Convite  023/2016</t>
  </si>
  <si>
    <r>
      <t>PILAR PARTICIPAÇÕES E LOCAÇÕES EIRELI ME</t>
    </r>
    <r>
      <rPr>
        <sz val="10"/>
        <rFont val="Times New Roman"/>
        <family val="1"/>
      </rPr>
      <t xml:space="preserve"> </t>
    </r>
  </si>
  <si>
    <t>17.609.678/0001-00</t>
  </si>
  <si>
    <t>056/2016</t>
  </si>
  <si>
    <t>29/08/2016</t>
  </si>
  <si>
    <t>052/2016</t>
  </si>
  <si>
    <t>Contratação de Empresa de Engenharia para o Fornecimento e Instalação de Tubo Galvanizado de 2 pol., Engastado no Solo com Concreto Simples, Inclusive Corrente Soldada, para Interdição de Ruas no Centro do Município de São Lourenço da Mata/PE</t>
  </si>
  <si>
    <t>16/08/2016</t>
  </si>
  <si>
    <t>Contratação de Empresa de Engenharia para o Fornecimento e Espalhamento de Areia para Campos de Futebol em Diversos Campos do Município de São Lourenço da Mata/PE</t>
  </si>
  <si>
    <t>Dispensa 022/2016</t>
  </si>
  <si>
    <t>M. A. DA SILVA CONSTRUTORA E SERVIÇOS EIRELI</t>
  </si>
  <si>
    <t>053/2016</t>
  </si>
  <si>
    <t>19/08/2016</t>
  </si>
  <si>
    <t>31 DIAS</t>
  </si>
  <si>
    <t>Carta- Convite  024/2016</t>
  </si>
  <si>
    <t>060/2016</t>
  </si>
  <si>
    <t>050</t>
  </si>
  <si>
    <t>051</t>
  </si>
  <si>
    <t>052</t>
  </si>
  <si>
    <t>053</t>
  </si>
  <si>
    <t>054</t>
  </si>
  <si>
    <t>055</t>
  </si>
  <si>
    <t>056</t>
  </si>
  <si>
    <t>057</t>
  </si>
  <si>
    <t>058</t>
  </si>
  <si>
    <t>059</t>
  </si>
  <si>
    <t>060</t>
  </si>
  <si>
    <t>061</t>
  </si>
  <si>
    <t>062</t>
  </si>
  <si>
    <t>063</t>
  </si>
  <si>
    <t>064</t>
  </si>
  <si>
    <t>065</t>
  </si>
  <si>
    <t>066</t>
  </si>
  <si>
    <t>067</t>
  </si>
  <si>
    <t>068</t>
  </si>
  <si>
    <t>069</t>
  </si>
  <si>
    <t>070</t>
  </si>
  <si>
    <t>071</t>
  </si>
  <si>
    <t>072</t>
  </si>
  <si>
    <t>073</t>
  </si>
  <si>
    <t>074</t>
  </si>
  <si>
    <t>075</t>
  </si>
  <si>
    <t>076</t>
  </si>
  <si>
    <t>077</t>
  </si>
  <si>
    <t>078</t>
  </si>
  <si>
    <t>079</t>
  </si>
  <si>
    <t>080</t>
  </si>
  <si>
    <t>Carta- Convite  022/2016 REPETIÇÃO</t>
  </si>
  <si>
    <t>Contratação de Empresa de Engenharia para Execução de Guarda-Corpo para Pontes e Canais, Loca Município de São Lourenço da Mata/PE</t>
  </si>
  <si>
    <t>061/2016</t>
  </si>
  <si>
    <t>09/09/2016</t>
  </si>
  <si>
    <t>Contratação de Empresa de Engenharia para Execução de Drenagem com Construção de Ponta de Ala, Localizado no Bairro de Constantino, no Município de São Lourenço da Mata/PE</t>
  </si>
  <si>
    <t>Carta- Convite  025/2016</t>
  </si>
  <si>
    <r>
      <t>J.C.M  CONSTRUÇÕES LTDA ME</t>
    </r>
    <r>
      <rPr>
        <b/>
        <sz val="10"/>
        <rFont val="Times New Roman"/>
        <family val="1"/>
      </rPr>
      <t xml:space="preserve"> </t>
    </r>
  </si>
  <si>
    <t>17.653.616/0001-64</t>
  </si>
  <si>
    <t>067/2016</t>
  </si>
  <si>
    <t>27/09/2016</t>
  </si>
  <si>
    <t>Contratação de Empresa de Engenharia para Pavimentação e Drenagem em Diversas Ruas nos Bairros de Matriz da Luz, Lages, Irineu Teixeira, Tiúma e Constantino, no Município de São Lourenço da Mata/PE</t>
  </si>
  <si>
    <t>Tomada de Preços 013/2016</t>
  </si>
  <si>
    <t>070/2016</t>
  </si>
  <si>
    <t>072/2016</t>
  </si>
  <si>
    <t>M&amp;M EMPREENDIMENTO E INCORPORAÇÃO LTDA EPP</t>
  </si>
  <si>
    <t>Tomada de Preços 014/2016</t>
  </si>
  <si>
    <t>Tomada de Preços 015/2016</t>
  </si>
  <si>
    <t>28/09/2016</t>
  </si>
  <si>
    <t>Contratação de Empresa de Engenharia para Pavimentação e Drenagem nos Bairros de Chã da Tábua e Parque Capibaribe, no Município de São Lourenço da Mata/PE</t>
  </si>
  <si>
    <t>CONTREL CONSTRUÇÕES E REALIZAÇÕES EMPRESARIAIS LTDA</t>
  </si>
  <si>
    <t>24.161.531/0001-24</t>
  </si>
  <si>
    <t>071/2016</t>
  </si>
  <si>
    <t>Contratação de Empresa de Engenharia para Pavimentação e Drenagem em Diversas Ruas nos Bairros de Muribara, Penedo e Umuarama, no Município de São Lourenço da Mata/PE</t>
  </si>
  <si>
    <t>Contratação da Empresa de Engenharia Para Reforma da Praça do Nincho, Localizada entre a Rua Manoel Correia e Rua Esperança no Bairro do Pixete no Município de São Lourenço da Mata/PE</t>
  </si>
  <si>
    <t>Dispensa 023/2016</t>
  </si>
  <si>
    <t>23/08/2016</t>
  </si>
  <si>
    <t>055/2016</t>
  </si>
  <si>
    <t>Contratação de Empresa de Engenharia para Execução de Reforma da Praça Localizada da Rua 75 e Praça Dom Helder Câmara Localizada na Avenida 01 no Bairro Parque Capibaribe no Município de São Lourenço da Mata/PE</t>
  </si>
  <si>
    <t>063/2016</t>
  </si>
  <si>
    <t>20/09/2016</t>
  </si>
  <si>
    <t>RB SERVIÇOS DE ENGENHARIA LTDA ME</t>
  </si>
  <si>
    <t>Carta- Convite  026/2016</t>
  </si>
  <si>
    <t>Contratação de Empresa de Engenharia para Execução de Serviços de  Reforma na Creche Municipal Rosina  Labanca Localizada na Rua 18, s/n°, Bairro Parque Capibaribe no Município de São Lourenço da Mata-PE</t>
  </si>
  <si>
    <t>Carta- Convite  027/2016</t>
  </si>
  <si>
    <t>064/2016</t>
  </si>
  <si>
    <t>Contratação de Empresa de Engenharia para Execução de Serviços de Conservação, Desobstrução e Limpeza de Canais e Canaletas em Diversos Bairros do Município de São Lourenço da Mata-PE</t>
  </si>
  <si>
    <t>Carta- Convite  028/2016</t>
  </si>
  <si>
    <t>069/2016</t>
  </si>
  <si>
    <t>Carta- Convite  029/2016</t>
  </si>
  <si>
    <t>Contratação de Empresa de Engenharia para Execução de Restauração de Iluminação dos Campos de Futebol Distribuídos nos Bairros de Muribara, Vila do Reinado, Penedo, Várzea Fria e Matriz da Luz no Município de São Lourenço da Mata-P</t>
  </si>
  <si>
    <t>073/2016</t>
  </si>
  <si>
    <t>30/09/2016</t>
  </si>
  <si>
    <t>Carta- Convite  030/2016</t>
  </si>
  <si>
    <t>Contratação de Empresa de Engenharia para Pavimentação e Drenagem de Vielas, no Distrito de Matriz da Luz, no Município de São Lourenço da Mata-PE</t>
  </si>
  <si>
    <t>Contratação de Empresa de Engenharia para Construção de Paseio e Drenagem na Segunda Travessa “F” no Bairro do Pixete no Município de São Lourenço da Mata/PE</t>
  </si>
  <si>
    <t>062/2016</t>
  </si>
  <si>
    <t>Dispensa 024/2016</t>
  </si>
  <si>
    <t>19/09/2016</t>
  </si>
  <si>
    <t>Carta- Convite  031/2016</t>
  </si>
  <si>
    <t>Contratação de Elaboração de Projetos de Pavimentação de Diversas Ruas do Munícipio de São Lourenço da Mata/PE</t>
  </si>
  <si>
    <t>Dispensa 025/2016</t>
  </si>
  <si>
    <t>Dispensa 026/2016</t>
  </si>
  <si>
    <t>Dispensa 027/2016</t>
  </si>
  <si>
    <t>Dispensa 028/2016</t>
  </si>
  <si>
    <t>CRISTÓVÃO BEZERRA DOS SANTOS FILHO</t>
  </si>
  <si>
    <t>039.733.214-93</t>
  </si>
  <si>
    <t>065/2016</t>
  </si>
  <si>
    <t>068/2016</t>
  </si>
  <si>
    <t>Contratação de Empresa de Engenharia para Construção  de  Ponto  de  Táxi e Moto-Táxi  em Estrutura Metálica Galvanizada, Composta de Coberta Metálica,  Bancos  e Suportes Individuais  para  Bebedouro  e Televisão, no Bairro de Penedo, Município de São Lourenço da Mata/PE</t>
  </si>
  <si>
    <t>Contratação de Empresa para Perfuração de Poço Artersiano no Bairro de Constantino no Município de São Lourenço da Mata-PE</t>
  </si>
  <si>
    <t>WILSON DE M. COUTINHO NETO - ME</t>
  </si>
  <si>
    <t>18.126.353/0001-06</t>
  </si>
  <si>
    <t>23/09/2016</t>
  </si>
  <si>
    <t>074/2016</t>
  </si>
  <si>
    <t>Contratação de Empresa de Engenharia para Locação de Guindaste com Cesto Acoplado sobre Caminhão Carroceria, Capacidade do Cesto para 01 Pessoa ou 100Kg Alcance Vertical Máximo de 8,60M, para apoio nos Serviçosde Manutenção de Iluminação Pública, em Diversos Bairros, no Município de São Lourenço da Mata/PE</t>
  </si>
  <si>
    <t>-30342                       18256,2</t>
  </si>
  <si>
    <t>913,64               8681,66</t>
  </si>
  <si>
    <t>08/07/2016</t>
  </si>
  <si>
    <t>047/2016</t>
  </si>
  <si>
    <t>16194,81            51.473,34</t>
  </si>
  <si>
    <t>3.967,73</t>
  </si>
  <si>
    <t>Dispensa 029/2016</t>
  </si>
  <si>
    <t>077/2016</t>
  </si>
  <si>
    <t>1</t>
  </si>
  <si>
    <t>2</t>
  </si>
  <si>
    <t>3</t>
  </si>
  <si>
    <t>4</t>
  </si>
  <si>
    <t>5</t>
  </si>
  <si>
    <t>6</t>
  </si>
  <si>
    <t>7</t>
  </si>
  <si>
    <t>8</t>
  </si>
  <si>
    <t>9</t>
  </si>
  <si>
    <t>10</t>
  </si>
  <si>
    <t>10704,79</t>
  </si>
  <si>
    <t>Contratação de Empresa de Engenharia para Elaboração de Projeto para Construção do Centro Multicultural de Tiúma no Município de São Lourenço da Mata/PE</t>
  </si>
  <si>
    <t>Dispensa 030/2016</t>
  </si>
  <si>
    <t>Contratação de Empresa para Execução de Serviços de Terraplenagem em Estradas Rurais do Município de São Lourenço da Mata/PE</t>
  </si>
  <si>
    <t>M A DA SILVA CONSTGRUTORA EIRELI EPP</t>
  </si>
  <si>
    <t>076/2016</t>
  </si>
  <si>
    <t>07/10/2016</t>
  </si>
  <si>
    <t>310DIAS</t>
  </si>
  <si>
    <t>04.864.902/0001-27</t>
  </si>
  <si>
    <t>TRAOS CONSTRUÇÕES LTDA</t>
  </si>
  <si>
    <t>30DIAS</t>
  </si>
  <si>
    <t>081</t>
  </si>
  <si>
    <t>082</t>
  </si>
  <si>
    <t>083</t>
  </si>
  <si>
    <t>Contratação de Empresa de Engenharia para Execução de Serviços de Limpeza Urbana no Município de São Lourenço da Mata/PE</t>
  </si>
  <si>
    <t>075/2016</t>
  </si>
  <si>
    <t>10/10/2016</t>
  </si>
  <si>
    <t>90 dias</t>
  </si>
  <si>
    <t>Dispensa 021/2016</t>
  </si>
  <si>
    <t>Dispensa 020/2016</t>
  </si>
  <si>
    <t>Dispensa 031/2016</t>
  </si>
  <si>
    <t>Dispensa 032/2016</t>
  </si>
  <si>
    <t>Dispensa 033/2016</t>
  </si>
  <si>
    <t>CONTRATAÇÃO DE EMPRESA DE ENGENHARIA PARA RECUPERAÇÃO DE ILUMINAÇÃO DO VIADUTO JOSUÉ PEREIRA, LOCALIZADO NO CENTRO, NO MUNICÍPIO DE SÃO LOURENÇO DA MATA/PE</t>
  </si>
  <si>
    <t>078/2016</t>
  </si>
  <si>
    <t>14/10/2016</t>
  </si>
  <si>
    <t>Contratação de Empresa de Engenharia para Locação de Guindaste com Cesto Acoplado sobre Caminhão Carroceria, Capacidade do Cesto para 01 Pessoa ou 100Kg Alcance Vertical Máximo de 8,60M, para apoio nos Serviços de Manutenção de Iluminação Pública, em Diversos Bairros, no Município de São Lourenço da Mata/PE</t>
  </si>
  <si>
    <t>079/2016</t>
  </si>
  <si>
    <t>CONTRATAÇÃO DE EMPRESA PARA REFORMA DA CENTRAL DE MONITORAMENTO, LOCALIZADO NA RUA CORONEL JOSÉ DUARTE, CENTRO DO  MUNICÍPIO DE SÃO LOURENÇO DA MATA-PE</t>
  </si>
  <si>
    <t>M A DA SILVA CONSTRUTORA EIRELI EPP</t>
  </si>
  <si>
    <t>080/2016</t>
  </si>
  <si>
    <t>04/11/2016</t>
  </si>
  <si>
    <t>30 DIAS               30 DIAS</t>
  </si>
  <si>
    <t>30 DIAS               30 DIAS                30 DIAS</t>
  </si>
  <si>
    <t>30 DIAS                 30 DIAS                 30 DIAS               30 DIAS                     30 DIAS               30 DIAS                30 DIAS</t>
  </si>
  <si>
    <t xml:space="preserve">90 DIAS               90 DIAS            </t>
  </si>
  <si>
    <t>60 DIAS               60 DIAS              60 DIAS</t>
  </si>
  <si>
    <t xml:space="preserve">13745,41                     18.080,42 </t>
  </si>
  <si>
    <t>240 DIAS          240 DIAS           240 DIAS</t>
  </si>
  <si>
    <t>90 DIAS                90 DIAS               90 DIAS</t>
  </si>
  <si>
    <t>90 DIAS               90 DIAS            90 DIAS</t>
  </si>
  <si>
    <t>90 DIAS                 90 DIAS</t>
  </si>
  <si>
    <t xml:space="preserve">60 DIAS               60 DIAS     </t>
  </si>
  <si>
    <t>90 DIAS               90 DIAS</t>
  </si>
  <si>
    <t>MEDIDO - PAGO (SALDO DE MEDIÇÃO PARA PAGAMENTO)</t>
  </si>
  <si>
    <t>18.157,88                       4215,26</t>
  </si>
  <si>
    <t>20888,14         30196,32            82238,87</t>
  </si>
  <si>
    <t>VALOR DO CONTRATO - VALOR TOTAL PAGO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</si>
</sst>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R$&quot;\ * #,##0.00_-;\-&quot;R$&quot;\ * #,##0.00_-;_-&quot;R$&quot;\ * &quot;-&quot;??_-;_-@_-"/>
    <numFmt numFmtId="164" formatCode="0.000"/>
    <numFmt numFmtId="165" formatCode="_(&quot;R$ &quot;* #,##0.00_);_(&quot;R$ &quot;* \(#,##0.00\);_(&quot;R$ &quot;* &quot;-&quot;??_);_(@_)"/>
    <numFmt numFmtId="166" formatCode="&quot;R$&quot;\ #,##0.00"/>
  </numFmts>
  <fonts count="46" x14ac:knownFonts="1">
    <font>
      <sz val="10"/>
      <name val="Arial"/>
    </font>
    <font>
      <sz val="11"/>
      <color theme="1"/>
      <name val="Calibri"/>
      <family val="2"/>
      <scheme val="minor"/>
    </font>
    <font>
      <b/>
      <sz val="10"/>
      <name val="Arial"/>
      <family val="2"/>
    </font>
    <font>
      <sz val="8"/>
      <name val="Arial"/>
      <family val="2"/>
    </font>
    <font>
      <b/>
      <sz val="8"/>
      <name val="Arial"/>
      <family val="2"/>
    </font>
    <font>
      <sz val="9"/>
      <name val="Arial"/>
      <family val="2"/>
    </font>
    <font>
      <b/>
      <sz val="9"/>
      <name val="Arial"/>
      <family val="2"/>
    </font>
    <font>
      <b/>
      <sz val="14"/>
      <name val="Arial"/>
      <family val="2"/>
    </font>
    <font>
      <b/>
      <sz val="12"/>
      <name val="Arial"/>
      <family val="2"/>
    </font>
    <font>
      <b/>
      <sz val="7"/>
      <name val="Arial"/>
      <family val="2"/>
    </font>
    <font>
      <b/>
      <u/>
      <sz val="12"/>
      <name val="Arial"/>
      <family val="2"/>
    </font>
    <font>
      <sz val="7"/>
      <name val="Arial"/>
      <family val="2"/>
    </font>
    <font>
      <b/>
      <sz val="18"/>
      <name val="Arial"/>
      <family val="2"/>
    </font>
    <font>
      <sz val="18"/>
      <name val="Arial"/>
      <family val="2"/>
    </font>
    <font>
      <b/>
      <u/>
      <sz val="8"/>
      <name val="Arial"/>
      <family val="2"/>
    </font>
    <font>
      <sz val="8"/>
      <color theme="1"/>
      <name val="Arial"/>
      <family val="2"/>
    </font>
    <font>
      <sz val="10"/>
      <name val="Arial"/>
      <family val="2"/>
    </font>
    <font>
      <sz val="10"/>
      <name val="Arial"/>
      <family val="2"/>
    </font>
    <font>
      <sz val="20"/>
      <name val="Arial"/>
      <family val="2"/>
    </font>
    <font>
      <sz val="6"/>
      <name val="Arial"/>
      <family val="2"/>
    </font>
    <font>
      <sz val="8"/>
      <color rgb="FFFF0000"/>
      <name val="Arial"/>
      <family val="2"/>
    </font>
    <font>
      <b/>
      <u/>
      <sz val="14"/>
      <name val="Arial"/>
      <family val="2"/>
    </font>
    <font>
      <sz val="10"/>
      <name val="Times New Roman"/>
      <family val="1"/>
    </font>
    <font>
      <sz val="11"/>
      <name val="Times New Roman"/>
      <family val="1"/>
    </font>
    <font>
      <sz val="10"/>
      <color theme="1"/>
      <name val="Times New Roman"/>
      <family val="1"/>
    </font>
    <font>
      <sz val="11"/>
      <name val="Calibri"/>
      <family val="2"/>
      <scheme val="minor"/>
    </font>
    <font>
      <sz val="11"/>
      <name val="Arial"/>
      <family val="2"/>
    </font>
    <font>
      <b/>
      <sz val="11"/>
      <name val="Arial"/>
      <family val="2"/>
    </font>
    <font>
      <b/>
      <sz val="16"/>
      <name val="Arial"/>
      <family val="2"/>
    </font>
    <font>
      <b/>
      <u/>
      <sz val="16"/>
      <name val="Arial"/>
      <family val="2"/>
    </font>
    <font>
      <sz val="6.55"/>
      <name val="Arial"/>
      <family val="2"/>
    </font>
    <font>
      <sz val="7"/>
      <color indexed="8"/>
      <name val="Arial"/>
      <family val="2"/>
    </font>
    <font>
      <sz val="10"/>
      <name val="Arial"/>
    </font>
    <font>
      <b/>
      <sz val="10"/>
      <color rgb="FF000000"/>
      <name val="Times New Roman"/>
      <family val="1"/>
    </font>
    <font>
      <b/>
      <u/>
      <sz val="10"/>
      <name val="Arial"/>
      <family val="2"/>
    </font>
    <font>
      <b/>
      <sz val="15"/>
      <color rgb="FFFF0000"/>
      <name val="Arial"/>
      <family val="2"/>
    </font>
    <font>
      <b/>
      <sz val="8"/>
      <color theme="1"/>
      <name val="Arial"/>
      <family val="2"/>
    </font>
    <font>
      <sz val="9"/>
      <color indexed="81"/>
      <name val="Tahoma"/>
      <charset val="1"/>
    </font>
    <font>
      <b/>
      <sz val="9"/>
      <color indexed="81"/>
      <name val="Tahoma"/>
      <charset val="1"/>
    </font>
    <font>
      <sz val="10"/>
      <color rgb="FF000000"/>
      <name val="Times New Roman"/>
      <family val="1"/>
    </font>
    <font>
      <b/>
      <sz val="10"/>
      <name val="Times New Roman"/>
      <family val="1"/>
    </font>
    <font>
      <b/>
      <sz val="11"/>
      <name val="Times New Roman"/>
      <family val="1"/>
    </font>
    <font>
      <sz val="9"/>
      <color indexed="81"/>
      <name val="Segoe UI"/>
      <charset val="1"/>
    </font>
    <font>
      <b/>
      <sz val="9"/>
      <color indexed="81"/>
      <name val="Segoe UI"/>
      <charset val="1"/>
    </font>
    <font>
      <sz val="9"/>
      <color indexed="81"/>
      <name val="Segoe UI"/>
      <family val="2"/>
    </font>
    <font>
      <b/>
      <sz val="9"/>
      <color indexed="81"/>
      <name val="Segoe UI"/>
      <family val="2"/>
    </font>
  </fonts>
  <fills count="19">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
      <patternFill patternType="solid">
        <fgColor theme="9" tint="0.39997558519241921"/>
        <bgColor indexed="64"/>
      </patternFill>
    </fill>
    <fill>
      <patternFill patternType="solid">
        <fgColor rgb="FFFF0000"/>
        <bgColor indexed="64"/>
      </patternFill>
    </fill>
    <fill>
      <patternFill patternType="solid">
        <fgColor rgb="FF00B0F0"/>
        <bgColor indexed="64"/>
      </patternFill>
    </fill>
    <fill>
      <patternFill patternType="solid">
        <fgColor theme="4" tint="-0.249977111117893"/>
        <bgColor indexed="64"/>
      </patternFill>
    </fill>
    <fill>
      <patternFill patternType="solid">
        <fgColor theme="7" tint="-0.249977111117893"/>
        <bgColor indexed="64"/>
      </patternFill>
    </fill>
    <fill>
      <patternFill patternType="solid">
        <fgColor rgb="FF00B050"/>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3" tint="0.59999389629810485"/>
        <bgColor indexed="64"/>
      </patternFill>
    </fill>
    <fill>
      <patternFill patternType="solid">
        <fgColor theme="6"/>
        <bgColor indexed="64"/>
      </patternFill>
    </fill>
    <fill>
      <patternFill patternType="solid">
        <fgColor theme="8" tint="0.59999389629810485"/>
        <bgColor indexed="64"/>
      </patternFill>
    </fill>
    <fill>
      <patternFill patternType="solid">
        <fgColor theme="3" tint="0.79998168889431442"/>
        <bgColor indexed="64"/>
      </patternFill>
    </fill>
    <fill>
      <patternFill patternType="solid">
        <fgColor rgb="FFFFC000"/>
        <bgColor indexed="64"/>
      </patternFill>
    </fill>
  </fills>
  <borders count="77">
    <border>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64"/>
      </bottom>
      <diagonal/>
    </border>
    <border>
      <left style="thin">
        <color indexed="8"/>
      </left>
      <right style="thin">
        <color indexed="8"/>
      </right>
      <top/>
      <bottom style="thin">
        <color indexed="8"/>
      </bottom>
      <diagonal/>
    </border>
    <border>
      <left/>
      <right style="thin">
        <color indexed="8"/>
      </right>
      <top/>
      <bottom/>
      <diagonal/>
    </border>
    <border>
      <left style="thin">
        <color indexed="8"/>
      </left>
      <right/>
      <top style="thin">
        <color indexed="8"/>
      </top>
      <bottom/>
      <diagonal/>
    </border>
    <border>
      <left/>
      <right style="thin">
        <color indexed="8"/>
      </right>
      <top style="thin">
        <color indexed="8"/>
      </top>
      <bottom/>
      <diagonal/>
    </border>
    <border>
      <left style="thin">
        <color indexed="64"/>
      </left>
      <right style="thin">
        <color indexed="64"/>
      </right>
      <top style="thin">
        <color indexed="8"/>
      </top>
      <bottom style="thin">
        <color indexed="64"/>
      </bottom>
      <diagonal/>
    </border>
    <border>
      <left style="thin">
        <color indexed="8"/>
      </left>
      <right style="thin">
        <color indexed="8"/>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8"/>
      </right>
      <top style="thin">
        <color indexed="8"/>
      </top>
      <bottom style="thin">
        <color indexed="64"/>
      </bottom>
      <diagonal/>
    </border>
    <border>
      <left style="thin">
        <color indexed="64"/>
      </left>
      <right style="thin">
        <color indexed="8"/>
      </right>
      <top style="thin">
        <color indexed="8"/>
      </top>
      <bottom style="thin">
        <color indexed="8"/>
      </bottom>
      <diagonal/>
    </border>
    <border>
      <left style="thin">
        <color indexed="64"/>
      </left>
      <right style="thin">
        <color indexed="8"/>
      </right>
      <top style="thin">
        <color indexed="8"/>
      </top>
      <bottom/>
      <diagonal/>
    </border>
    <border>
      <left/>
      <right/>
      <top style="thin">
        <color indexed="8"/>
      </top>
      <bottom style="thin">
        <color indexed="64"/>
      </bottom>
      <diagonal/>
    </border>
    <border>
      <left style="thin">
        <color indexed="64"/>
      </left>
      <right style="thin">
        <color indexed="64"/>
      </right>
      <top style="thin">
        <color indexed="8"/>
      </top>
      <bottom style="thin">
        <color indexed="8"/>
      </bottom>
      <diagonal/>
    </border>
    <border>
      <left style="thin">
        <color indexed="64"/>
      </left>
      <right style="thin">
        <color indexed="64"/>
      </right>
      <top style="thin">
        <color indexed="8"/>
      </top>
      <bottom/>
      <diagonal/>
    </border>
    <border>
      <left style="thin">
        <color indexed="8"/>
      </left>
      <right style="medium">
        <color indexed="64"/>
      </right>
      <top style="thin">
        <color indexed="64"/>
      </top>
      <bottom style="thin">
        <color indexed="64"/>
      </bottom>
      <diagonal/>
    </border>
    <border>
      <left/>
      <right/>
      <top style="thin">
        <color indexed="8"/>
      </top>
      <bottom/>
      <diagonal/>
    </border>
    <border>
      <left/>
      <right style="thin">
        <color indexed="64"/>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8"/>
      </left>
      <right/>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s>
  <cellStyleXfs count="4">
    <xf numFmtId="0" fontId="0" fillId="0" borderId="0"/>
    <xf numFmtId="0" fontId="1" fillId="0" borderId="0"/>
    <xf numFmtId="0" fontId="17" fillId="0" borderId="0"/>
    <xf numFmtId="44" fontId="32" fillId="0" borderId="0" applyFont="0" applyFill="0" applyBorder="0" applyAlignment="0" applyProtection="0"/>
  </cellStyleXfs>
  <cellXfs count="1047">
    <xf numFmtId="0" fontId="0" fillId="0" borderId="0" xfId="0"/>
    <xf numFmtId="2" fontId="3" fillId="0" borderId="1" xfId="0" applyNumberFormat="1" applyFont="1" applyFill="1" applyBorder="1" applyAlignment="1">
      <alignment horizontal="center"/>
    </xf>
    <xf numFmtId="0" fontId="3" fillId="0" borderId="1" xfId="0" applyFont="1" applyFill="1" applyBorder="1" applyAlignment="1">
      <alignment horizontal="center"/>
    </xf>
    <xf numFmtId="0" fontId="0" fillId="0" borderId="0" xfId="0" applyFill="1"/>
    <xf numFmtId="0" fontId="8" fillId="0" borderId="3" xfId="0" applyFont="1" applyFill="1" applyBorder="1" applyAlignment="1">
      <alignment horizontal="center"/>
    </xf>
    <xf numFmtId="0" fontId="4" fillId="0" borderId="4" xfId="0" applyFont="1" applyFill="1" applyBorder="1" applyAlignment="1">
      <alignment horizontal="left"/>
    </xf>
    <xf numFmtId="0" fontId="4" fillId="0" borderId="0" xfId="0" applyFont="1" applyFill="1" applyBorder="1" applyAlignment="1">
      <alignment horizontal="left"/>
    </xf>
    <xf numFmtId="4" fontId="6" fillId="0" borderId="8" xfId="0" applyNumberFormat="1" applyFont="1" applyFill="1" applyBorder="1" applyAlignment="1">
      <alignment horizontal="center"/>
    </xf>
    <xf numFmtId="49" fontId="3" fillId="0" borderId="1" xfId="0" applyNumberFormat="1" applyFont="1" applyFill="1" applyBorder="1" applyAlignment="1">
      <alignment horizontal="center" vertical="top" wrapText="1"/>
    </xf>
    <xf numFmtId="0" fontId="3" fillId="0" borderId="1" xfId="0" applyFont="1" applyFill="1" applyBorder="1" applyAlignment="1">
      <alignment horizontal="center" wrapText="1"/>
    </xf>
    <xf numFmtId="0" fontId="3" fillId="0" borderId="7" xfId="0" applyFont="1" applyFill="1" applyBorder="1" applyAlignment="1">
      <alignment horizontal="center" wrapText="1"/>
    </xf>
    <xf numFmtId="4" fontId="3" fillId="0" borderId="1" xfId="0" applyNumberFormat="1" applyFont="1" applyFill="1" applyBorder="1" applyAlignment="1">
      <alignment horizontal="center" wrapText="1"/>
    </xf>
    <xf numFmtId="49" fontId="3" fillId="0" borderId="1" xfId="0" applyNumberFormat="1" applyFont="1" applyFill="1" applyBorder="1" applyAlignment="1">
      <alignment horizontal="center" wrapText="1"/>
    </xf>
    <xf numFmtId="0" fontId="3" fillId="0" borderId="1" xfId="0" applyFont="1" applyFill="1" applyBorder="1" applyAlignment="1">
      <alignment horizontal="justify" vertical="top" wrapText="1"/>
    </xf>
    <xf numFmtId="0" fontId="11" fillId="2" borderId="9" xfId="0" applyFont="1" applyFill="1" applyBorder="1" applyAlignment="1">
      <alignment horizontal="center"/>
    </xf>
    <xf numFmtId="0" fontId="3" fillId="2" borderId="9" xfId="0" applyFont="1" applyFill="1" applyBorder="1" applyAlignment="1">
      <alignment horizontal="center"/>
    </xf>
    <xf numFmtId="0" fontId="14" fillId="2" borderId="9" xfId="0" applyFont="1" applyFill="1" applyBorder="1" applyAlignment="1">
      <alignment vertical="top" wrapText="1"/>
    </xf>
    <xf numFmtId="2" fontId="3" fillId="2" borderId="9" xfId="0" applyNumberFormat="1" applyFont="1" applyFill="1" applyBorder="1" applyAlignment="1">
      <alignment horizontal="center"/>
    </xf>
    <xf numFmtId="0" fontId="3" fillId="0" borderId="0" xfId="0" applyFont="1" applyFill="1"/>
    <xf numFmtId="49" fontId="3" fillId="0" borderId="7" xfId="0" applyNumberFormat="1" applyFont="1" applyFill="1" applyBorder="1" applyAlignment="1">
      <alignment horizontal="center" wrapText="1"/>
    </xf>
    <xf numFmtId="0" fontId="3" fillId="0" borderId="7" xfId="0" applyFont="1" applyFill="1" applyBorder="1" applyAlignment="1">
      <alignment horizontal="center"/>
    </xf>
    <xf numFmtId="0" fontId="15" fillId="0" borderId="1" xfId="0" applyFont="1" applyFill="1" applyBorder="1" applyAlignment="1">
      <alignment horizontal="justify" vertical="top" wrapText="1"/>
    </xf>
    <xf numFmtId="0" fontId="15" fillId="0" borderId="7" xfId="0" applyFont="1" applyFill="1" applyBorder="1" applyAlignment="1">
      <alignment horizontal="justify" vertical="top" wrapText="1"/>
    </xf>
    <xf numFmtId="4" fontId="0" fillId="0" borderId="0" xfId="0" applyNumberFormat="1" applyFill="1"/>
    <xf numFmtId="4" fontId="3" fillId="2" borderId="1" xfId="0" applyNumberFormat="1" applyFont="1" applyFill="1" applyBorder="1" applyAlignment="1">
      <alignment horizontal="center"/>
    </xf>
    <xf numFmtId="0" fontId="3" fillId="0" borderId="22" xfId="0" applyFont="1" applyFill="1" applyBorder="1" applyAlignment="1">
      <alignment horizontal="center"/>
    </xf>
    <xf numFmtId="0" fontId="0" fillId="0" borderId="2" xfId="0" applyFill="1" applyBorder="1"/>
    <xf numFmtId="4" fontId="6" fillId="0" borderId="6" xfId="0" applyNumberFormat="1" applyFont="1" applyFill="1" applyBorder="1" applyAlignment="1">
      <alignment horizontal="center"/>
    </xf>
    <xf numFmtId="49" fontId="3" fillId="0" borderId="7" xfId="0" applyNumberFormat="1" applyFont="1" applyFill="1" applyBorder="1" applyAlignment="1">
      <alignment horizontal="center" vertical="top" wrapText="1"/>
    </xf>
    <xf numFmtId="2" fontId="3" fillId="0" borderId="7" xfId="0" applyNumberFormat="1" applyFont="1" applyFill="1" applyBorder="1" applyAlignment="1">
      <alignment horizontal="center"/>
    </xf>
    <xf numFmtId="0" fontId="3" fillId="0" borderId="9" xfId="0" applyFont="1" applyFill="1" applyBorder="1" applyAlignment="1">
      <alignment horizontal="center" wrapText="1"/>
    </xf>
    <xf numFmtId="0" fontId="3" fillId="0" borderId="9" xfId="0" applyFont="1" applyFill="1" applyBorder="1" applyAlignment="1">
      <alignment horizontal="center"/>
    </xf>
    <xf numFmtId="49" fontId="3" fillId="0" borderId="9" xfId="0" applyNumberFormat="1" applyFont="1" applyFill="1" applyBorder="1" applyAlignment="1">
      <alignment horizontal="center" vertical="top" wrapText="1"/>
    </xf>
    <xf numFmtId="0" fontId="15" fillId="0" borderId="11" xfId="0" applyFont="1" applyFill="1" applyBorder="1" applyAlignment="1">
      <alignment horizontal="justify" vertical="top" wrapText="1"/>
    </xf>
    <xf numFmtId="2" fontId="3" fillId="0" borderId="9" xfId="0" applyNumberFormat="1" applyFont="1" applyFill="1" applyBorder="1" applyAlignment="1">
      <alignment horizontal="center"/>
    </xf>
    <xf numFmtId="49" fontId="3" fillId="0" borderId="9" xfId="0" applyNumberFormat="1" applyFont="1" applyFill="1" applyBorder="1" applyAlignment="1">
      <alignment horizontal="center" wrapText="1"/>
    </xf>
    <xf numFmtId="4" fontId="3" fillId="0" borderId="9" xfId="0" applyNumberFormat="1" applyFont="1" applyFill="1" applyBorder="1" applyAlignment="1">
      <alignment horizontal="center" wrapText="1"/>
    </xf>
    <xf numFmtId="0" fontId="3" fillId="0" borderId="23" xfId="0" applyFont="1" applyFill="1" applyBorder="1" applyAlignment="1">
      <alignment horizontal="center"/>
    </xf>
    <xf numFmtId="49" fontId="3" fillId="0" borderId="23" xfId="0" applyNumberFormat="1" applyFont="1" applyFill="1" applyBorder="1" applyAlignment="1">
      <alignment horizontal="center" vertical="top" wrapText="1"/>
    </xf>
    <xf numFmtId="49" fontId="3" fillId="0" borderId="23" xfId="0" applyNumberFormat="1" applyFont="1" applyFill="1" applyBorder="1" applyAlignment="1">
      <alignment horizontal="center" wrapText="1"/>
    </xf>
    <xf numFmtId="0" fontId="3" fillId="0" borderId="23" xfId="0" applyFont="1" applyFill="1" applyBorder="1" applyAlignment="1">
      <alignment horizontal="center" wrapText="1"/>
    </xf>
    <xf numFmtId="4" fontId="3" fillId="0" borderId="23" xfId="0" applyNumberFormat="1" applyFont="1" applyFill="1" applyBorder="1" applyAlignment="1">
      <alignment horizontal="center" wrapText="1"/>
    </xf>
    <xf numFmtId="4" fontId="3" fillId="0" borderId="7" xfId="0" applyNumberFormat="1" applyFont="1" applyFill="1" applyBorder="1" applyAlignment="1">
      <alignment horizontal="center" wrapText="1"/>
    </xf>
    <xf numFmtId="0" fontId="3" fillId="0" borderId="11" xfId="0" applyFont="1" applyFill="1" applyBorder="1" applyAlignment="1">
      <alignment horizontal="center"/>
    </xf>
    <xf numFmtId="49" fontId="3" fillId="0" borderId="11" xfId="0" applyNumberFormat="1" applyFont="1" applyFill="1" applyBorder="1" applyAlignment="1">
      <alignment horizontal="center" wrapText="1"/>
    </xf>
    <xf numFmtId="0" fontId="3" fillId="0" borderId="11" xfId="0" applyFont="1" applyFill="1" applyBorder="1" applyAlignment="1">
      <alignment horizontal="center" wrapText="1"/>
    </xf>
    <xf numFmtId="49" fontId="3" fillId="0" borderId="11" xfId="0" applyNumberFormat="1" applyFont="1" applyFill="1" applyBorder="1" applyAlignment="1">
      <alignment horizontal="center" vertical="top"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justify" vertical="center" wrapText="1"/>
    </xf>
    <xf numFmtId="4" fontId="3" fillId="0" borderId="1" xfId="0" applyNumberFormat="1" applyFont="1" applyFill="1" applyBorder="1" applyAlignment="1">
      <alignment horizontal="center" vertical="center" wrapText="1"/>
    </xf>
    <xf numFmtId="0" fontId="3" fillId="0" borderId="26" xfId="0" applyFont="1" applyFill="1" applyBorder="1" applyAlignment="1">
      <alignment horizontal="justify" vertical="center" wrapText="1"/>
    </xf>
    <xf numFmtId="0" fontId="3" fillId="0" borderId="25" xfId="0" applyFont="1" applyFill="1" applyBorder="1" applyAlignment="1">
      <alignment horizontal="justify" vertical="center" wrapText="1"/>
    </xf>
    <xf numFmtId="0" fontId="4" fillId="0" borderId="20" xfId="0" applyFont="1" applyFill="1" applyBorder="1" applyAlignment="1">
      <alignment horizontal="left"/>
    </xf>
    <xf numFmtId="0" fontId="8" fillId="0" borderId="28" xfId="0" applyFont="1" applyFill="1" applyBorder="1" applyAlignment="1">
      <alignment horizontal="left"/>
    </xf>
    <xf numFmtId="0" fontId="4" fillId="0" borderId="28" xfId="0" applyFont="1" applyFill="1" applyBorder="1" applyAlignment="1">
      <alignment horizontal="left"/>
    </xf>
    <xf numFmtId="0" fontId="3" fillId="0" borderId="25" xfId="0" applyFont="1" applyFill="1" applyBorder="1" applyAlignment="1">
      <alignment horizontal="center" wrapText="1"/>
    </xf>
    <xf numFmtId="4" fontId="3" fillId="0" borderId="25" xfId="0" applyNumberFormat="1" applyFont="1" applyFill="1" applyBorder="1" applyAlignment="1">
      <alignment horizontal="center" wrapText="1"/>
    </xf>
    <xf numFmtId="4" fontId="3" fillId="0" borderId="4" xfId="0" applyNumberFormat="1" applyFont="1" applyFill="1" applyBorder="1" applyAlignment="1">
      <alignment horizontal="center" wrapText="1"/>
    </xf>
    <xf numFmtId="4" fontId="3" fillId="0" borderId="7" xfId="0" applyNumberFormat="1" applyFont="1" applyFill="1" applyBorder="1" applyAlignment="1">
      <alignment horizontal="center" vertical="center" wrapText="1"/>
    </xf>
    <xf numFmtId="4" fontId="8" fillId="0" borderId="3" xfId="0" applyNumberFormat="1" applyFont="1" applyFill="1" applyBorder="1" applyAlignment="1">
      <alignment horizontal="center"/>
    </xf>
    <xf numFmtId="4" fontId="8" fillId="0" borderId="28" xfId="0" applyNumberFormat="1" applyFont="1" applyFill="1" applyBorder="1" applyAlignment="1">
      <alignment horizontal="left"/>
    </xf>
    <xf numFmtId="4" fontId="8" fillId="0" borderId="21" xfId="0" applyNumberFormat="1" applyFont="1" applyFill="1" applyBorder="1" applyAlignment="1">
      <alignment horizontal="left"/>
    </xf>
    <xf numFmtId="4" fontId="8" fillId="0" borderId="0" xfId="0" applyNumberFormat="1" applyFont="1" applyFill="1" applyBorder="1" applyAlignment="1">
      <alignment horizontal="left"/>
    </xf>
    <xf numFmtId="4" fontId="8" fillId="0" borderId="5" xfId="0" applyNumberFormat="1" applyFont="1" applyFill="1" applyBorder="1" applyAlignment="1">
      <alignment horizontal="left"/>
    </xf>
    <xf numFmtId="4" fontId="8" fillId="0" borderId="0" xfId="0" applyNumberFormat="1" applyFont="1" applyFill="1" applyBorder="1" applyAlignment="1">
      <alignment horizontal="center"/>
    </xf>
    <xf numFmtId="4" fontId="8" fillId="0" borderId="5" xfId="0" applyNumberFormat="1" applyFont="1" applyFill="1" applyBorder="1" applyAlignment="1">
      <alignment horizontal="center"/>
    </xf>
    <xf numFmtId="4" fontId="0" fillId="0" borderId="0" xfId="0" applyNumberFormat="1" applyFill="1" applyBorder="1"/>
    <xf numFmtId="4" fontId="0" fillId="0" borderId="5" xfId="0" applyNumberFormat="1" applyFill="1" applyBorder="1"/>
    <xf numFmtId="4" fontId="0" fillId="0" borderId="3" xfId="0" applyNumberFormat="1" applyFill="1" applyBorder="1"/>
    <xf numFmtId="4" fontId="0" fillId="0" borderId="16" xfId="0" applyNumberFormat="1" applyFill="1" applyBorder="1"/>
    <xf numFmtId="0" fontId="0" fillId="0" borderId="1" xfId="0" applyFill="1" applyBorder="1"/>
    <xf numFmtId="0" fontId="3" fillId="0" borderId="9" xfId="0" applyFont="1" applyFill="1" applyBorder="1" applyAlignment="1">
      <alignment horizontal="center" vertical="center" wrapText="1"/>
    </xf>
    <xf numFmtId="0" fontId="3" fillId="0" borderId="9" xfId="0" applyFont="1" applyFill="1" applyBorder="1" applyAlignment="1">
      <alignment horizontal="justify" vertical="center" wrapText="1"/>
    </xf>
    <xf numFmtId="4" fontId="3" fillId="0" borderId="9" xfId="0" applyNumberFormat="1" applyFont="1" applyFill="1" applyBorder="1" applyAlignment="1">
      <alignment horizontal="center" vertical="center" wrapText="1"/>
    </xf>
    <xf numFmtId="0" fontId="3" fillId="0" borderId="29" xfId="0" applyFont="1" applyFill="1" applyBorder="1" applyAlignment="1">
      <alignment horizontal="center" wrapText="1"/>
    </xf>
    <xf numFmtId="4" fontId="3" fillId="0" borderId="11" xfId="0" applyNumberFormat="1" applyFont="1" applyFill="1" applyBorder="1" applyAlignment="1">
      <alignment horizontal="center" wrapText="1"/>
    </xf>
    <xf numFmtId="0" fontId="3" fillId="0" borderId="23" xfId="0" applyFont="1" applyFill="1" applyBorder="1" applyAlignment="1">
      <alignment horizontal="center" vertical="center" wrapText="1"/>
    </xf>
    <xf numFmtId="0" fontId="3" fillId="0" borderId="23" xfId="0" applyFont="1" applyFill="1" applyBorder="1" applyAlignment="1">
      <alignment horizontal="justify" vertical="center" wrapText="1"/>
    </xf>
    <xf numFmtId="4" fontId="3" fillId="0" borderId="23" xfId="0" applyNumberFormat="1" applyFont="1" applyFill="1" applyBorder="1" applyAlignment="1">
      <alignment horizontal="center" vertical="center" wrapText="1"/>
    </xf>
    <xf numFmtId="0" fontId="3" fillId="0" borderId="30" xfId="0" applyFont="1" applyFill="1" applyBorder="1" applyAlignment="1">
      <alignment horizontal="center" wrapText="1"/>
    </xf>
    <xf numFmtId="0" fontId="3" fillId="0" borderId="29" xfId="0" applyFont="1" applyFill="1" applyBorder="1" applyAlignment="1">
      <alignment horizontal="justify" vertical="center" wrapText="1"/>
    </xf>
    <xf numFmtId="4" fontId="3" fillId="0" borderId="29" xfId="0" applyNumberFormat="1" applyFont="1" applyFill="1" applyBorder="1" applyAlignment="1">
      <alignment horizontal="center" wrapText="1"/>
    </xf>
    <xf numFmtId="0" fontId="3" fillId="0" borderId="30" xfId="0" applyFont="1" applyFill="1" applyBorder="1" applyAlignment="1">
      <alignment horizontal="justify" vertical="center" wrapText="1"/>
    </xf>
    <xf numFmtId="4" fontId="3" fillId="0" borderId="30" xfId="0" applyNumberFormat="1" applyFont="1" applyFill="1" applyBorder="1" applyAlignment="1">
      <alignment horizontal="center" wrapText="1"/>
    </xf>
    <xf numFmtId="0" fontId="0" fillId="0" borderId="31" xfId="0" applyFill="1" applyBorder="1"/>
    <xf numFmtId="0" fontId="0" fillId="0" borderId="32" xfId="0" applyFill="1" applyBorder="1"/>
    <xf numFmtId="0" fontId="0" fillId="0" borderId="18" xfId="0" applyFill="1" applyBorder="1"/>
    <xf numFmtId="0" fontId="0" fillId="0" borderId="17" xfId="0" applyFill="1" applyBorder="1"/>
    <xf numFmtId="0" fontId="0" fillId="0" borderId="35" xfId="0" applyFill="1" applyBorder="1"/>
    <xf numFmtId="0" fontId="0" fillId="0" borderId="30" xfId="0" applyFill="1" applyBorder="1"/>
    <xf numFmtId="0" fontId="6" fillId="0" borderId="31" xfId="0" applyFont="1" applyFill="1" applyBorder="1" applyAlignment="1">
      <alignment horizontal="center"/>
    </xf>
    <xf numFmtId="0" fontId="6" fillId="0" borderId="32" xfId="0" applyFont="1" applyFill="1" applyBorder="1" applyAlignment="1">
      <alignment horizontal="center"/>
    </xf>
    <xf numFmtId="4" fontId="6" fillId="0" borderId="32" xfId="0" applyNumberFormat="1" applyFont="1" applyFill="1" applyBorder="1" applyAlignment="1">
      <alignment horizontal="center"/>
    </xf>
    <xf numFmtId="4" fontId="6" fillId="0" borderId="33" xfId="0" applyNumberFormat="1" applyFont="1" applyFill="1" applyBorder="1" applyAlignment="1">
      <alignment horizontal="center"/>
    </xf>
    <xf numFmtId="0" fontId="6" fillId="0" borderId="35" xfId="0" applyFont="1" applyFill="1" applyBorder="1" applyAlignment="1">
      <alignment horizontal="center"/>
    </xf>
    <xf numFmtId="0" fontId="6" fillId="0" borderId="30" xfId="0" applyFont="1" applyFill="1" applyBorder="1" applyAlignment="1">
      <alignment horizontal="center"/>
    </xf>
    <xf numFmtId="4" fontId="6" fillId="0" borderId="30" xfId="0" applyNumberFormat="1" applyFont="1" applyFill="1" applyBorder="1" applyAlignment="1">
      <alignment horizontal="center"/>
    </xf>
    <xf numFmtId="4" fontId="6" fillId="0" borderId="36" xfId="0" applyNumberFormat="1" applyFont="1" applyFill="1" applyBorder="1" applyAlignment="1">
      <alignment horizontal="center"/>
    </xf>
    <xf numFmtId="0" fontId="0" fillId="0" borderId="23" xfId="0" applyFill="1" applyBorder="1"/>
    <xf numFmtId="4" fontId="3" fillId="4" borderId="23" xfId="0" applyNumberFormat="1" applyFont="1" applyFill="1" applyBorder="1" applyAlignment="1">
      <alignment horizontal="center" wrapText="1"/>
    </xf>
    <xf numFmtId="4" fontId="3" fillId="4" borderId="1" xfId="0" applyNumberFormat="1" applyFont="1" applyFill="1" applyBorder="1" applyAlignment="1">
      <alignment horizontal="center" wrapText="1"/>
    </xf>
    <xf numFmtId="0" fontId="0" fillId="5" borderId="0" xfId="0" applyFill="1"/>
    <xf numFmtId="0" fontId="3" fillId="5" borderId="1" xfId="0" applyFont="1" applyFill="1" applyBorder="1" applyAlignment="1">
      <alignment horizontal="justify" vertical="center" wrapText="1"/>
    </xf>
    <xf numFmtId="4" fontId="3" fillId="5" borderId="1" xfId="0" applyNumberFormat="1" applyFont="1" applyFill="1" applyBorder="1" applyAlignment="1">
      <alignment horizontal="center" vertical="center" wrapText="1"/>
    </xf>
    <xf numFmtId="0" fontId="3" fillId="5" borderId="1" xfId="0" applyFont="1" applyFill="1" applyBorder="1" applyAlignment="1">
      <alignment horizontal="center" wrapText="1"/>
    </xf>
    <xf numFmtId="49" fontId="3" fillId="5" borderId="1" xfId="0" applyNumberFormat="1" applyFont="1" applyFill="1" applyBorder="1" applyAlignment="1">
      <alignment horizontal="center" wrapText="1"/>
    </xf>
    <xf numFmtId="0" fontId="3" fillId="5" borderId="1" xfId="0" applyFont="1" applyFill="1" applyBorder="1" applyAlignment="1">
      <alignment horizontal="center"/>
    </xf>
    <xf numFmtId="4" fontId="3" fillId="5" borderId="1" xfId="0" applyNumberFormat="1" applyFont="1" applyFill="1" applyBorder="1" applyAlignment="1">
      <alignment horizontal="center" wrapText="1"/>
    </xf>
    <xf numFmtId="0" fontId="11" fillId="0" borderId="39" xfId="0" applyFont="1" applyFill="1" applyBorder="1" applyAlignment="1">
      <alignment horizontal="justify" vertical="top" wrapText="1"/>
    </xf>
    <xf numFmtId="4" fontId="3" fillId="4" borderId="7" xfId="0" applyNumberFormat="1" applyFont="1" applyFill="1" applyBorder="1" applyAlignment="1">
      <alignment horizontal="center" wrapText="1"/>
    </xf>
    <xf numFmtId="0" fontId="3" fillId="5" borderId="7" xfId="0" applyFont="1" applyFill="1" applyBorder="1" applyAlignment="1">
      <alignment horizontal="center"/>
    </xf>
    <xf numFmtId="49" fontId="3" fillId="5" borderId="1" xfId="0" applyNumberFormat="1" applyFont="1" applyFill="1" applyBorder="1" applyAlignment="1">
      <alignment horizontal="center" vertical="top" wrapText="1"/>
    </xf>
    <xf numFmtId="0" fontId="15" fillId="5" borderId="1" xfId="0" applyFont="1" applyFill="1" applyBorder="1" applyAlignment="1">
      <alignment horizontal="justify" vertical="top" wrapText="1"/>
    </xf>
    <xf numFmtId="2" fontId="3" fillId="5" borderId="1" xfId="0" applyNumberFormat="1" applyFont="1" applyFill="1" applyBorder="1" applyAlignment="1">
      <alignment horizontal="center"/>
    </xf>
    <xf numFmtId="49" fontId="3" fillId="5" borderId="9" xfId="0" applyNumberFormat="1" applyFont="1" applyFill="1" applyBorder="1" applyAlignment="1">
      <alignment horizontal="center" wrapText="1"/>
    </xf>
    <xf numFmtId="0" fontId="3" fillId="5" borderId="25" xfId="0" applyFont="1" applyFill="1" applyBorder="1" applyAlignment="1">
      <alignment horizontal="center" wrapText="1"/>
    </xf>
    <xf numFmtId="4" fontId="3" fillId="5" borderId="7" xfId="0" applyNumberFormat="1" applyFont="1" applyFill="1" applyBorder="1" applyAlignment="1">
      <alignment horizontal="center" wrapText="1"/>
    </xf>
    <xf numFmtId="49" fontId="3" fillId="5" borderId="7" xfId="0" applyNumberFormat="1" applyFont="1" applyFill="1" applyBorder="1" applyAlignment="1">
      <alignment horizontal="center" vertical="top" wrapText="1"/>
    </xf>
    <xf numFmtId="0" fontId="15" fillId="5" borderId="7" xfId="0" applyFont="1" applyFill="1" applyBorder="1" applyAlignment="1">
      <alignment horizontal="justify" vertical="top" wrapText="1"/>
    </xf>
    <xf numFmtId="0" fontId="3" fillId="5" borderId="7" xfId="0" applyFont="1" applyFill="1" applyBorder="1" applyAlignment="1">
      <alignment horizontal="center" wrapText="1"/>
    </xf>
    <xf numFmtId="0" fontId="3" fillId="5" borderId="19" xfId="0" applyFont="1" applyFill="1" applyBorder="1" applyAlignment="1">
      <alignment horizontal="center"/>
    </xf>
    <xf numFmtId="4" fontId="3" fillId="5" borderId="1" xfId="0" applyNumberFormat="1" applyFont="1" applyFill="1" applyBorder="1" applyAlignment="1">
      <alignment horizontal="center" vertical="center"/>
    </xf>
    <xf numFmtId="0" fontId="0" fillId="6" borderId="0" xfId="0" applyFill="1"/>
    <xf numFmtId="0" fontId="3" fillId="5" borderId="1" xfId="0" applyFont="1" applyFill="1" applyBorder="1" applyAlignment="1">
      <alignment horizontal="center" vertical="center" wrapText="1"/>
    </xf>
    <xf numFmtId="0" fontId="0" fillId="3" borderId="0" xfId="0" applyFill="1"/>
    <xf numFmtId="0" fontId="3" fillId="3" borderId="1" xfId="0" applyFont="1" applyFill="1" applyBorder="1" applyAlignment="1">
      <alignment horizontal="center" vertical="center" wrapText="1"/>
    </xf>
    <xf numFmtId="4" fontId="3" fillId="3" borderId="1" xfId="0" applyNumberFormat="1" applyFont="1" applyFill="1" applyBorder="1" applyAlignment="1">
      <alignment horizontal="center" vertical="center" wrapText="1"/>
    </xf>
    <xf numFmtId="0" fontId="3" fillId="3" borderId="7" xfId="0" applyFont="1" applyFill="1" applyBorder="1" applyAlignment="1">
      <alignment horizontal="center" vertical="center" wrapText="1"/>
    </xf>
    <xf numFmtId="0" fontId="8" fillId="0" borderId="0" xfId="0" applyFont="1" applyFill="1" applyBorder="1" applyAlignment="1">
      <alignment horizontal="center"/>
    </xf>
    <xf numFmtId="0" fontId="0" fillId="4" borderId="0" xfId="0" applyFill="1"/>
    <xf numFmtId="0" fontId="11" fillId="4" borderId="39" xfId="0" applyFont="1" applyFill="1" applyBorder="1" applyAlignment="1">
      <alignment horizontal="justify" vertical="top" wrapText="1"/>
    </xf>
    <xf numFmtId="0" fontId="3" fillId="4" borderId="7" xfId="0" applyFont="1" applyFill="1" applyBorder="1" applyAlignment="1">
      <alignment horizontal="center" wrapText="1"/>
    </xf>
    <xf numFmtId="2" fontId="3" fillId="4" borderId="8" xfId="0" applyNumberFormat="1" applyFont="1" applyFill="1" applyBorder="1" applyAlignment="1">
      <alignment horizontal="center"/>
    </xf>
    <xf numFmtId="0" fontId="3" fillId="4" borderId="9" xfId="0" applyFont="1" applyFill="1" applyBorder="1" applyAlignment="1">
      <alignment horizontal="center"/>
    </xf>
    <xf numFmtId="49" fontId="3" fillId="4" borderId="9" xfId="0" applyNumberFormat="1" applyFont="1" applyFill="1" applyBorder="1" applyAlignment="1">
      <alignment horizontal="center" vertical="top" wrapText="1"/>
    </xf>
    <xf numFmtId="0" fontId="3" fillId="4" borderId="1" xfId="0" applyFont="1" applyFill="1" applyBorder="1" applyAlignment="1">
      <alignment horizontal="justify" vertical="center" wrapText="1"/>
    </xf>
    <xf numFmtId="4" fontId="3" fillId="4" borderId="1" xfId="0" applyNumberFormat="1" applyFont="1" applyFill="1" applyBorder="1" applyAlignment="1">
      <alignment horizontal="center" vertical="center" wrapText="1"/>
    </xf>
    <xf numFmtId="0" fontId="3" fillId="4" borderId="1" xfId="0" applyFont="1" applyFill="1" applyBorder="1" applyAlignment="1">
      <alignment horizontal="center" wrapText="1"/>
    </xf>
    <xf numFmtId="0" fontId="3" fillId="4" borderId="1" xfId="0" applyFont="1" applyFill="1" applyBorder="1" applyAlignment="1">
      <alignment horizontal="center"/>
    </xf>
    <xf numFmtId="4" fontId="11" fillId="4" borderId="38" xfId="0" applyNumberFormat="1" applyFont="1" applyFill="1" applyBorder="1" applyAlignment="1">
      <alignment horizontal="center" vertical="center" wrapText="1"/>
    </xf>
    <xf numFmtId="2" fontId="3" fillId="4" borderId="1" xfId="0" applyNumberFormat="1" applyFont="1" applyFill="1" applyBorder="1" applyAlignment="1">
      <alignment horizontal="center" vertical="center" wrapText="1"/>
    </xf>
    <xf numFmtId="49" fontId="3" fillId="4" borderId="1" xfId="0" applyNumberFormat="1" applyFont="1" applyFill="1" applyBorder="1" applyAlignment="1">
      <alignment horizontal="center" vertical="top" wrapText="1"/>
    </xf>
    <xf numFmtId="0" fontId="3" fillId="4" borderId="7" xfId="0" applyFont="1" applyFill="1" applyBorder="1" applyAlignment="1">
      <alignment horizontal="center"/>
    </xf>
    <xf numFmtId="49" fontId="3" fillId="4" borderId="7" xfId="0" applyNumberFormat="1" applyFont="1" applyFill="1" applyBorder="1" applyAlignment="1">
      <alignment horizontal="center" vertical="top" wrapText="1"/>
    </xf>
    <xf numFmtId="49" fontId="3" fillId="4" borderId="7" xfId="0" applyNumberFormat="1" applyFont="1" applyFill="1" applyBorder="1" applyAlignment="1">
      <alignment horizontal="center" wrapText="1"/>
    </xf>
    <xf numFmtId="4" fontId="3" fillId="4" borderId="7" xfId="0" applyNumberFormat="1" applyFont="1" applyFill="1" applyBorder="1" applyAlignment="1">
      <alignment horizontal="center" vertical="center" wrapText="1"/>
    </xf>
    <xf numFmtId="2" fontId="3" fillId="4" borderId="7" xfId="0" applyNumberFormat="1" applyFont="1" applyFill="1" applyBorder="1" applyAlignment="1">
      <alignment horizontal="center" wrapText="1"/>
    </xf>
    <xf numFmtId="0" fontId="3" fillId="4" borderId="25" xfId="0" applyFont="1" applyFill="1" applyBorder="1" applyAlignment="1">
      <alignment horizontal="center" wrapText="1"/>
    </xf>
    <xf numFmtId="4" fontId="3" fillId="4" borderId="25" xfId="0" applyNumberFormat="1" applyFont="1" applyFill="1" applyBorder="1" applyAlignment="1">
      <alignment horizontal="center" wrapText="1"/>
    </xf>
    <xf numFmtId="0" fontId="3" fillId="4" borderId="1" xfId="0" applyFont="1" applyFill="1" applyBorder="1" applyAlignment="1">
      <alignment horizontal="center" vertical="center" wrapText="1"/>
    </xf>
    <xf numFmtId="4" fontId="3" fillId="4" borderId="4" xfId="0" applyNumberFormat="1" applyFont="1" applyFill="1" applyBorder="1" applyAlignment="1">
      <alignment horizontal="center" wrapText="1"/>
    </xf>
    <xf numFmtId="0" fontId="3" fillId="4" borderId="0" xfId="0" applyFont="1" applyFill="1"/>
    <xf numFmtId="0" fontId="3" fillId="4" borderId="23" xfId="0" applyFont="1" applyFill="1" applyBorder="1" applyAlignment="1">
      <alignment horizontal="center" vertical="center" wrapText="1"/>
    </xf>
    <xf numFmtId="0" fontId="3" fillId="4" borderId="23" xfId="0" applyFont="1" applyFill="1" applyBorder="1" applyAlignment="1">
      <alignment horizontal="justify" vertical="center" wrapText="1"/>
    </xf>
    <xf numFmtId="4" fontId="3" fillId="4" borderId="23" xfId="0" applyNumberFormat="1" applyFont="1" applyFill="1" applyBorder="1" applyAlignment="1">
      <alignment horizontal="center" vertical="center" wrapText="1"/>
    </xf>
    <xf numFmtId="2" fontId="3" fillId="4" borderId="23" xfId="0" applyNumberFormat="1" applyFont="1" applyFill="1" applyBorder="1" applyAlignment="1">
      <alignment horizontal="center" vertical="center" wrapText="1"/>
    </xf>
    <xf numFmtId="49" fontId="3" fillId="4" borderId="23" xfId="0" applyNumberFormat="1" applyFont="1" applyFill="1" applyBorder="1" applyAlignment="1">
      <alignment horizontal="center" wrapText="1"/>
    </xf>
    <xf numFmtId="0" fontId="3" fillId="4" borderId="30" xfId="0" applyFont="1" applyFill="1" applyBorder="1" applyAlignment="1">
      <alignment horizontal="center" wrapText="1"/>
    </xf>
    <xf numFmtId="0" fontId="3" fillId="4" borderId="23" xfId="0" applyFont="1" applyFill="1" applyBorder="1" applyAlignment="1">
      <alignment horizontal="center" wrapText="1"/>
    </xf>
    <xf numFmtId="0" fontId="3" fillId="4" borderId="23" xfId="0" applyFont="1" applyFill="1" applyBorder="1" applyAlignment="1">
      <alignment horizontal="center"/>
    </xf>
    <xf numFmtId="4" fontId="3" fillId="4" borderId="30" xfId="0" applyNumberFormat="1" applyFont="1" applyFill="1" applyBorder="1" applyAlignment="1">
      <alignment horizontal="center" wrapText="1"/>
    </xf>
    <xf numFmtId="0" fontId="3" fillId="4" borderId="9" xfId="0" applyFont="1" applyFill="1" applyBorder="1" applyAlignment="1">
      <alignment horizontal="center" vertical="center" wrapText="1"/>
    </xf>
    <xf numFmtId="0" fontId="3" fillId="4" borderId="9" xfId="0" applyFont="1" applyFill="1" applyBorder="1" applyAlignment="1">
      <alignment horizontal="justify" vertical="center" wrapText="1"/>
    </xf>
    <xf numFmtId="4" fontId="3" fillId="4" borderId="9" xfId="0" applyNumberFormat="1" applyFont="1" applyFill="1" applyBorder="1" applyAlignment="1">
      <alignment horizontal="center" vertical="center" wrapText="1"/>
    </xf>
    <xf numFmtId="2" fontId="3" fillId="4" borderId="9" xfId="0" applyNumberFormat="1" applyFont="1" applyFill="1" applyBorder="1" applyAlignment="1">
      <alignment horizontal="center" vertical="center" wrapText="1"/>
    </xf>
    <xf numFmtId="49" fontId="3" fillId="4" borderId="11" xfId="0" applyNumberFormat="1" applyFont="1" applyFill="1" applyBorder="1" applyAlignment="1">
      <alignment horizontal="center" wrapText="1"/>
    </xf>
    <xf numFmtId="0" fontId="3" fillId="4" borderId="29" xfId="0" applyFont="1" applyFill="1" applyBorder="1" applyAlignment="1">
      <alignment horizontal="center" wrapText="1"/>
    </xf>
    <xf numFmtId="0" fontId="3" fillId="4" borderId="11" xfId="0" applyFont="1" applyFill="1" applyBorder="1" applyAlignment="1">
      <alignment horizontal="center" wrapText="1"/>
    </xf>
    <xf numFmtId="4" fontId="3" fillId="4" borderId="29" xfId="0" applyNumberFormat="1" applyFont="1" applyFill="1" applyBorder="1" applyAlignment="1">
      <alignment horizontal="center" wrapText="1"/>
    </xf>
    <xf numFmtId="4" fontId="3" fillId="4" borderId="11" xfId="0" applyNumberFormat="1" applyFont="1" applyFill="1" applyBorder="1" applyAlignment="1">
      <alignment horizontal="center" wrapText="1"/>
    </xf>
    <xf numFmtId="0" fontId="3" fillId="4" borderId="1" xfId="0" applyFont="1" applyFill="1" applyBorder="1" applyAlignment="1">
      <alignment horizontal="justify" vertical="top" wrapText="1"/>
    </xf>
    <xf numFmtId="0" fontId="3" fillId="4" borderId="1" xfId="0" applyFont="1" applyFill="1" applyBorder="1" applyAlignment="1">
      <alignment horizontal="left" vertical="top" wrapText="1"/>
    </xf>
    <xf numFmtId="0" fontId="3" fillId="4" borderId="1" xfId="0" applyFont="1" applyFill="1" applyBorder="1" applyAlignment="1">
      <alignment horizontal="justify" wrapText="1"/>
    </xf>
    <xf numFmtId="0" fontId="3" fillId="4" borderId="7" xfId="0" applyFont="1" applyFill="1" applyBorder="1" applyAlignment="1">
      <alignment horizontal="center" vertical="center" wrapText="1"/>
    </xf>
    <xf numFmtId="49" fontId="3" fillId="4" borderId="23" xfId="0" applyNumberFormat="1" applyFont="1" applyFill="1" applyBorder="1" applyAlignment="1">
      <alignment horizontal="center" vertical="top" wrapText="1"/>
    </xf>
    <xf numFmtId="0" fontId="3" fillId="4" borderId="23" xfId="0" applyFont="1" applyFill="1" applyBorder="1" applyAlignment="1">
      <alignment horizontal="justify" vertical="top" wrapText="1"/>
    </xf>
    <xf numFmtId="0" fontId="3" fillId="4" borderId="7" xfId="0" applyFont="1" applyFill="1" applyBorder="1" applyAlignment="1">
      <alignment horizontal="justify" wrapText="1"/>
    </xf>
    <xf numFmtId="2" fontId="3" fillId="4" borderId="7" xfId="0" applyNumberFormat="1" applyFont="1" applyFill="1" applyBorder="1" applyAlignment="1">
      <alignment horizontal="center" vertical="center" wrapText="1"/>
    </xf>
    <xf numFmtId="0" fontId="3" fillId="4" borderId="27" xfId="0" applyFont="1" applyFill="1" applyBorder="1" applyAlignment="1">
      <alignment horizontal="center" wrapText="1"/>
    </xf>
    <xf numFmtId="0" fontId="0" fillId="7" borderId="0" xfId="0" applyFill="1"/>
    <xf numFmtId="4" fontId="3" fillId="7" borderId="1" xfId="0" applyNumberFormat="1" applyFont="1" applyFill="1" applyBorder="1" applyAlignment="1">
      <alignment horizontal="center" wrapText="1"/>
    </xf>
    <xf numFmtId="4" fontId="3" fillId="7" borderId="7" xfId="0" applyNumberFormat="1" applyFont="1" applyFill="1" applyBorder="1" applyAlignment="1">
      <alignment horizontal="center" wrapText="1"/>
    </xf>
    <xf numFmtId="0" fontId="3" fillId="4" borderId="7" xfId="0" applyFont="1" applyFill="1" applyBorder="1" applyAlignment="1">
      <alignment horizontal="justify" vertical="top" wrapText="1"/>
    </xf>
    <xf numFmtId="2" fontId="3" fillId="4" borderId="1" xfId="0" applyNumberFormat="1" applyFont="1" applyFill="1" applyBorder="1" applyAlignment="1">
      <alignment horizontal="center" vertical="center"/>
    </xf>
    <xf numFmtId="49" fontId="3" fillId="4" borderId="7" xfId="0" applyNumberFormat="1" applyFont="1" applyFill="1" applyBorder="1" applyAlignment="1">
      <alignment horizontal="center" vertical="center" wrapText="1"/>
    </xf>
    <xf numFmtId="0" fontId="16" fillId="4" borderId="0" xfId="0" applyFont="1" applyFill="1"/>
    <xf numFmtId="4" fontId="3" fillId="3" borderId="39" xfId="0" applyNumberFormat="1" applyFont="1" applyFill="1" applyBorder="1" applyAlignment="1">
      <alignment horizontal="center" vertical="center" wrapText="1"/>
    </xf>
    <xf numFmtId="14" fontId="3" fillId="4" borderId="17" xfId="0" applyNumberFormat="1" applyFont="1" applyFill="1" applyBorder="1" applyAlignment="1">
      <alignment horizontal="center" vertical="center" wrapText="1"/>
    </xf>
    <xf numFmtId="4" fontId="3" fillId="4" borderId="17" xfId="0" applyNumberFormat="1" applyFont="1" applyFill="1" applyBorder="1" applyAlignment="1">
      <alignment horizontal="center" vertical="center" wrapText="1"/>
    </xf>
    <xf numFmtId="49" fontId="3" fillId="4" borderId="17" xfId="0" applyNumberFormat="1" applyFont="1" applyFill="1" applyBorder="1" applyAlignment="1">
      <alignment horizontal="center" vertical="center" wrapText="1"/>
    </xf>
    <xf numFmtId="0" fontId="3" fillId="4" borderId="17" xfId="0" applyFont="1" applyFill="1" applyBorder="1" applyAlignment="1">
      <alignment horizontal="center" vertical="center" wrapText="1"/>
    </xf>
    <xf numFmtId="49" fontId="11" fillId="4" borderId="38" xfId="0" applyNumberFormat="1" applyFont="1" applyFill="1" applyBorder="1" applyAlignment="1">
      <alignment horizontal="center" vertical="center" wrapText="1"/>
    </xf>
    <xf numFmtId="0" fontId="8" fillId="0" borderId="4" xfId="0" applyFont="1" applyFill="1" applyBorder="1" applyAlignment="1">
      <alignment horizontal="left"/>
    </xf>
    <xf numFmtId="0" fontId="8" fillId="0" borderId="0" xfId="0" applyFont="1" applyFill="1" applyBorder="1" applyAlignment="1">
      <alignment horizontal="left"/>
    </xf>
    <xf numFmtId="0" fontId="3" fillId="4" borderId="17" xfId="0" applyFont="1" applyFill="1" applyBorder="1" applyAlignment="1">
      <alignment vertical="top"/>
    </xf>
    <xf numFmtId="0" fontId="11" fillId="4" borderId="38" xfId="0" applyFont="1" applyFill="1" applyBorder="1" applyAlignment="1">
      <alignment horizontal="justify" vertical="center" wrapText="1"/>
    </xf>
    <xf numFmtId="0" fontId="0" fillId="8" borderId="0" xfId="0" applyFill="1"/>
    <xf numFmtId="4" fontId="6" fillId="8" borderId="8" xfId="0" applyNumberFormat="1" applyFont="1" applyFill="1" applyBorder="1" applyAlignment="1">
      <alignment horizontal="center"/>
    </xf>
    <xf numFmtId="0" fontId="11" fillId="9" borderId="8" xfId="0" applyFont="1" applyFill="1" applyBorder="1" applyAlignment="1">
      <alignment horizontal="center"/>
    </xf>
    <xf numFmtId="0" fontId="3" fillId="9" borderId="8" xfId="0" applyFont="1" applyFill="1" applyBorder="1" applyAlignment="1">
      <alignment horizontal="center"/>
    </xf>
    <xf numFmtId="2" fontId="3" fillId="9" borderId="8" xfId="0" applyNumberFormat="1" applyFont="1" applyFill="1" applyBorder="1" applyAlignment="1">
      <alignment horizontal="center"/>
    </xf>
    <xf numFmtId="2" fontId="3" fillId="9" borderId="12" xfId="0" applyNumberFormat="1" applyFont="1" applyFill="1" applyBorder="1" applyAlignment="1">
      <alignment horizontal="center"/>
    </xf>
    <xf numFmtId="4" fontId="3" fillId="9" borderId="8" xfId="0" applyNumberFormat="1" applyFont="1" applyFill="1" applyBorder="1" applyAlignment="1">
      <alignment horizontal="center"/>
    </xf>
    <xf numFmtId="0" fontId="0" fillId="9" borderId="0" xfId="0" applyFill="1"/>
    <xf numFmtId="0" fontId="3" fillId="9" borderId="7" xfId="0" applyFont="1" applyFill="1" applyBorder="1" applyAlignment="1">
      <alignment horizontal="center" vertical="top"/>
    </xf>
    <xf numFmtId="0" fontId="3" fillId="9" borderId="7" xfId="0" applyFont="1" applyFill="1" applyBorder="1" applyAlignment="1">
      <alignment horizontal="center"/>
    </xf>
    <xf numFmtId="0" fontId="11" fillId="7" borderId="8" xfId="0" applyFont="1" applyFill="1" applyBorder="1" applyAlignment="1">
      <alignment horizontal="center"/>
    </xf>
    <xf numFmtId="0" fontId="3" fillId="7" borderId="8" xfId="0" applyFont="1" applyFill="1" applyBorder="1" applyAlignment="1">
      <alignment horizontal="center"/>
    </xf>
    <xf numFmtId="0" fontId="14" fillId="7" borderId="8" xfId="0" applyFont="1" applyFill="1" applyBorder="1" applyAlignment="1">
      <alignment vertical="top" wrapText="1"/>
    </xf>
    <xf numFmtId="2" fontId="3" fillId="7" borderId="8" xfId="0" applyNumberFormat="1" applyFont="1" applyFill="1" applyBorder="1" applyAlignment="1">
      <alignment horizontal="center"/>
    </xf>
    <xf numFmtId="2" fontId="3" fillId="7" borderId="12" xfId="0" applyNumberFormat="1" applyFont="1" applyFill="1" applyBorder="1" applyAlignment="1">
      <alignment horizontal="center"/>
    </xf>
    <xf numFmtId="4" fontId="3" fillId="7" borderId="8" xfId="0" applyNumberFormat="1" applyFont="1" applyFill="1" applyBorder="1" applyAlignment="1">
      <alignment horizontal="center"/>
    </xf>
    <xf numFmtId="0" fontId="3" fillId="7" borderId="23" xfId="0" applyFont="1" applyFill="1" applyBorder="1" applyAlignment="1">
      <alignment horizontal="center"/>
    </xf>
    <xf numFmtId="49" fontId="3" fillId="7" borderId="23" xfId="0" applyNumberFormat="1" applyFont="1" applyFill="1" applyBorder="1" applyAlignment="1">
      <alignment horizontal="center" vertical="top" wrapText="1"/>
    </xf>
    <xf numFmtId="0" fontId="15" fillId="7" borderId="23" xfId="0" applyFont="1" applyFill="1" applyBorder="1" applyAlignment="1">
      <alignment horizontal="justify" vertical="top" wrapText="1"/>
    </xf>
    <xf numFmtId="2" fontId="3" fillId="7" borderId="23" xfId="0" applyNumberFormat="1" applyFont="1" applyFill="1" applyBorder="1" applyAlignment="1">
      <alignment horizontal="center"/>
    </xf>
    <xf numFmtId="49" fontId="3" fillId="7" borderId="23" xfId="0" applyNumberFormat="1" applyFont="1" applyFill="1" applyBorder="1" applyAlignment="1">
      <alignment horizontal="center" wrapText="1"/>
    </xf>
    <xf numFmtId="0" fontId="3" fillId="7" borderId="23" xfId="0" applyFont="1" applyFill="1" applyBorder="1" applyAlignment="1">
      <alignment horizontal="center" wrapText="1"/>
    </xf>
    <xf numFmtId="0" fontId="3" fillId="7" borderId="24" xfId="0" applyFont="1" applyFill="1" applyBorder="1" applyAlignment="1">
      <alignment horizontal="center"/>
    </xf>
    <xf numFmtId="4" fontId="3" fillId="7" borderId="23" xfId="0" applyNumberFormat="1" applyFont="1" applyFill="1" applyBorder="1" applyAlignment="1">
      <alignment horizontal="center" wrapText="1"/>
    </xf>
    <xf numFmtId="0" fontId="11" fillId="10" borderId="8" xfId="0" applyFont="1" applyFill="1" applyBorder="1" applyAlignment="1">
      <alignment horizontal="center"/>
    </xf>
    <xf numFmtId="0" fontId="3" fillId="10" borderId="10" xfId="0" applyFont="1" applyFill="1" applyBorder="1" applyAlignment="1">
      <alignment horizontal="center"/>
    </xf>
    <xf numFmtId="0" fontId="14" fillId="10" borderId="10" xfId="0" applyFont="1" applyFill="1" applyBorder="1" applyAlignment="1">
      <alignment vertical="top" wrapText="1"/>
    </xf>
    <xf numFmtId="2" fontId="3" fillId="10" borderId="10" xfId="0" applyNumberFormat="1" applyFont="1" applyFill="1" applyBorder="1" applyAlignment="1">
      <alignment horizontal="center"/>
    </xf>
    <xf numFmtId="2" fontId="3" fillId="10" borderId="20" xfId="0" applyNumberFormat="1" applyFont="1" applyFill="1" applyBorder="1" applyAlignment="1">
      <alignment horizontal="center"/>
    </xf>
    <xf numFmtId="4" fontId="3" fillId="10" borderId="10" xfId="0" applyNumberFormat="1" applyFont="1" applyFill="1" applyBorder="1" applyAlignment="1">
      <alignment horizontal="center"/>
    </xf>
    <xf numFmtId="0" fontId="0" fillId="10" borderId="0" xfId="0" applyFill="1"/>
    <xf numFmtId="4" fontId="6" fillId="4" borderId="8" xfId="0" applyNumberFormat="1" applyFont="1" applyFill="1" applyBorder="1" applyAlignment="1">
      <alignment horizontal="center"/>
    </xf>
    <xf numFmtId="0" fontId="21" fillId="9" borderId="8" xfId="0" applyFont="1" applyFill="1" applyBorder="1" applyAlignment="1">
      <alignment vertical="top" wrapText="1"/>
    </xf>
    <xf numFmtId="0" fontId="3" fillId="3" borderId="7" xfId="0" applyFont="1" applyFill="1" applyBorder="1" applyAlignment="1">
      <alignment horizontal="center" vertical="top"/>
    </xf>
    <xf numFmtId="0" fontId="11" fillId="3" borderId="38" xfId="0" applyFont="1" applyFill="1" applyBorder="1" applyAlignment="1">
      <alignment horizontal="justify" vertical="top" wrapText="1"/>
    </xf>
    <xf numFmtId="0" fontId="3" fillId="3" borderId="7" xfId="0" applyFont="1" applyFill="1" applyBorder="1" applyAlignment="1">
      <alignment horizontal="center"/>
    </xf>
    <xf numFmtId="49" fontId="3" fillId="3" borderId="1" xfId="0" applyNumberFormat="1" applyFont="1" applyFill="1" applyBorder="1" applyAlignment="1">
      <alignment horizontal="center" vertical="top" wrapText="1"/>
    </xf>
    <xf numFmtId="0" fontId="3" fillId="3" borderId="1" xfId="0" applyFont="1" applyFill="1" applyBorder="1" applyAlignment="1">
      <alignment horizontal="justify" vertical="center" wrapText="1"/>
    </xf>
    <xf numFmtId="49" fontId="3" fillId="3" borderId="7" xfId="0" applyNumberFormat="1" applyFont="1" applyFill="1" applyBorder="1" applyAlignment="1">
      <alignment horizontal="center" wrapText="1"/>
    </xf>
    <xf numFmtId="0" fontId="3" fillId="3" borderId="25" xfId="0" applyFont="1" applyFill="1" applyBorder="1" applyAlignment="1">
      <alignment horizontal="center" wrapText="1"/>
    </xf>
    <xf numFmtId="0" fontId="3" fillId="3" borderId="7" xfId="0" applyFont="1" applyFill="1" applyBorder="1" applyAlignment="1">
      <alignment horizontal="center" wrapText="1"/>
    </xf>
    <xf numFmtId="0" fontId="3" fillId="3" borderId="1" xfId="0" applyFont="1" applyFill="1" applyBorder="1" applyAlignment="1">
      <alignment horizontal="center"/>
    </xf>
    <xf numFmtId="4" fontId="3" fillId="3" borderId="25" xfId="0" applyNumberFormat="1" applyFont="1" applyFill="1" applyBorder="1" applyAlignment="1">
      <alignment horizontal="center" wrapText="1"/>
    </xf>
    <xf numFmtId="4" fontId="3" fillId="3" borderId="7" xfId="0" applyNumberFormat="1" applyFont="1" applyFill="1" applyBorder="1" applyAlignment="1">
      <alignment horizontal="center" wrapText="1"/>
    </xf>
    <xf numFmtId="4" fontId="3" fillId="4" borderId="27" xfId="0" applyNumberFormat="1" applyFont="1" applyFill="1" applyBorder="1" applyAlignment="1">
      <alignment horizontal="center" wrapText="1"/>
    </xf>
    <xf numFmtId="49" fontId="3" fillId="3" borderId="7" xfId="0" applyNumberFormat="1" applyFont="1" applyFill="1" applyBorder="1" applyAlignment="1">
      <alignment horizontal="center" vertical="top" wrapText="1"/>
    </xf>
    <xf numFmtId="0" fontId="11" fillId="3" borderId="39" xfId="0" applyFont="1" applyFill="1" applyBorder="1" applyAlignment="1">
      <alignment horizontal="justify" vertical="top" wrapText="1"/>
    </xf>
    <xf numFmtId="2" fontId="3" fillId="3" borderId="1" xfId="0" applyNumberFormat="1" applyFont="1" applyFill="1" applyBorder="1" applyAlignment="1">
      <alignment horizontal="center" vertical="center" wrapText="1"/>
    </xf>
    <xf numFmtId="49" fontId="3" fillId="3" borderId="7" xfId="0" applyNumberFormat="1"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1" xfId="0" applyFont="1" applyFill="1" applyBorder="1" applyAlignment="1">
      <alignment horizontal="center" wrapText="1"/>
    </xf>
    <xf numFmtId="0" fontId="3" fillId="3" borderId="11" xfId="0" applyFont="1" applyFill="1" applyBorder="1" applyAlignment="1">
      <alignment horizontal="center" vertical="center" wrapText="1"/>
    </xf>
    <xf numFmtId="49" fontId="3" fillId="3" borderId="11" xfId="0" applyNumberFormat="1" applyFont="1" applyFill="1" applyBorder="1" applyAlignment="1">
      <alignment horizontal="center" vertical="top" wrapText="1"/>
    </xf>
    <xf numFmtId="0" fontId="3" fillId="3" borderId="9" xfId="0" applyFont="1" applyFill="1" applyBorder="1" applyAlignment="1">
      <alignment horizontal="justify" vertical="top" wrapText="1"/>
    </xf>
    <xf numFmtId="4" fontId="3" fillId="3" borderId="9" xfId="0" applyNumberFormat="1" applyFont="1" applyFill="1" applyBorder="1" applyAlignment="1">
      <alignment horizontal="center" vertical="center" wrapText="1"/>
    </xf>
    <xf numFmtId="49" fontId="3" fillId="3" borderId="11" xfId="0" applyNumberFormat="1" applyFont="1" applyFill="1" applyBorder="1" applyAlignment="1">
      <alignment horizontal="center" wrapText="1"/>
    </xf>
    <xf numFmtId="0" fontId="3" fillId="3" borderId="0" xfId="0" applyFont="1" applyFill="1" applyBorder="1" applyAlignment="1">
      <alignment horizontal="center" wrapText="1"/>
    </xf>
    <xf numFmtId="0" fontId="3" fillId="3" borderId="11" xfId="0" applyFont="1" applyFill="1" applyBorder="1" applyAlignment="1">
      <alignment horizontal="center" wrapText="1"/>
    </xf>
    <xf numFmtId="0" fontId="3" fillId="3" borderId="9" xfId="0" applyFont="1" applyFill="1" applyBorder="1" applyAlignment="1">
      <alignment horizontal="center"/>
    </xf>
    <xf numFmtId="4" fontId="3" fillId="3" borderId="9" xfId="0" applyNumberFormat="1" applyFont="1" applyFill="1" applyBorder="1" applyAlignment="1">
      <alignment horizontal="center" wrapText="1"/>
    </xf>
    <xf numFmtId="0" fontId="11" fillId="3" borderId="44" xfId="0" applyFont="1" applyFill="1" applyBorder="1" applyAlignment="1">
      <alignment horizontal="justify" vertical="top" wrapText="1"/>
    </xf>
    <xf numFmtId="0" fontId="3" fillId="3" borderId="1" xfId="0" applyFont="1" applyFill="1" applyBorder="1" applyAlignment="1">
      <alignment horizontal="justify" vertical="top" wrapText="1"/>
    </xf>
    <xf numFmtId="4" fontId="3" fillId="3" borderId="1" xfId="0" applyNumberFormat="1" applyFont="1" applyFill="1" applyBorder="1" applyAlignment="1">
      <alignment horizontal="center" wrapText="1"/>
    </xf>
    <xf numFmtId="0" fontId="11" fillId="3" borderId="40" xfId="0" applyFont="1" applyFill="1" applyBorder="1" applyAlignment="1">
      <alignment horizontal="justify" vertical="top" wrapText="1"/>
    </xf>
    <xf numFmtId="49" fontId="3" fillId="3" borderId="9" xfId="0" applyNumberFormat="1" applyFont="1" applyFill="1" applyBorder="1" applyAlignment="1">
      <alignment horizontal="center" vertical="top" wrapText="1"/>
    </xf>
    <xf numFmtId="49" fontId="3" fillId="3" borderId="1" xfId="0" applyNumberFormat="1" applyFont="1" applyFill="1" applyBorder="1" applyAlignment="1">
      <alignment horizontal="center" vertical="center" wrapText="1"/>
    </xf>
    <xf numFmtId="0" fontId="11" fillId="3" borderId="17" xfId="0" applyFont="1" applyFill="1" applyBorder="1" applyAlignment="1">
      <alignment horizontal="justify" vertical="top" wrapText="1"/>
    </xf>
    <xf numFmtId="4" fontId="3" fillId="3" borderId="30" xfId="0" applyNumberFormat="1" applyFont="1" applyFill="1" applyBorder="1" applyAlignment="1">
      <alignment horizontal="center" wrapText="1"/>
    </xf>
    <xf numFmtId="4" fontId="3" fillId="3" borderId="23" xfId="0" applyNumberFormat="1" applyFont="1" applyFill="1" applyBorder="1" applyAlignment="1">
      <alignment horizontal="center" wrapText="1"/>
    </xf>
    <xf numFmtId="0" fontId="3" fillId="7" borderId="1" xfId="0" applyFont="1" applyFill="1" applyBorder="1" applyAlignment="1">
      <alignment horizontal="justify" vertical="center" wrapText="1"/>
    </xf>
    <xf numFmtId="0" fontId="3" fillId="7" borderId="7" xfId="0" applyFont="1" applyFill="1" applyBorder="1" applyAlignment="1">
      <alignment horizontal="center"/>
    </xf>
    <xf numFmtId="49" fontId="3" fillId="7" borderId="1" xfId="0" applyNumberFormat="1" applyFont="1" applyFill="1" applyBorder="1" applyAlignment="1">
      <alignment horizontal="center" vertical="top" wrapText="1"/>
    </xf>
    <xf numFmtId="4" fontId="3" fillId="7" borderId="1" xfId="0" applyNumberFormat="1" applyFont="1" applyFill="1" applyBorder="1" applyAlignment="1">
      <alignment horizontal="center" vertical="center" wrapText="1"/>
    </xf>
    <xf numFmtId="49" fontId="3" fillId="7" borderId="7" xfId="0" applyNumberFormat="1" applyFont="1" applyFill="1" applyBorder="1" applyAlignment="1">
      <alignment horizontal="center" wrapText="1"/>
    </xf>
    <xf numFmtId="0" fontId="3" fillId="7" borderId="25" xfId="0" applyFont="1" applyFill="1" applyBorder="1" applyAlignment="1">
      <alignment horizontal="center" wrapText="1"/>
    </xf>
    <xf numFmtId="0" fontId="3" fillId="7" borderId="7" xfId="0" applyFont="1" applyFill="1" applyBorder="1" applyAlignment="1">
      <alignment horizontal="center" wrapText="1"/>
    </xf>
    <xf numFmtId="0" fontId="3" fillId="7" borderId="1" xfId="0" applyFont="1" applyFill="1" applyBorder="1" applyAlignment="1">
      <alignment horizontal="center"/>
    </xf>
    <xf numFmtId="4" fontId="3" fillId="7" borderId="25" xfId="0" applyNumberFormat="1" applyFont="1" applyFill="1" applyBorder="1" applyAlignment="1">
      <alignment horizontal="center" wrapText="1"/>
    </xf>
    <xf numFmtId="2" fontId="3" fillId="3" borderId="1" xfId="0" applyNumberFormat="1" applyFont="1" applyFill="1" applyBorder="1" applyAlignment="1">
      <alignment horizontal="center"/>
    </xf>
    <xf numFmtId="49" fontId="3" fillId="3" borderId="1" xfId="0" applyNumberFormat="1" applyFont="1" applyFill="1" applyBorder="1" applyAlignment="1">
      <alignment horizontal="center" wrapText="1"/>
    </xf>
    <xf numFmtId="0" fontId="3" fillId="3" borderId="25" xfId="0" applyFont="1" applyFill="1" applyBorder="1" applyAlignment="1">
      <alignment horizontal="justify" vertical="center" wrapText="1"/>
    </xf>
    <xf numFmtId="0" fontId="15" fillId="3" borderId="7" xfId="0" applyFont="1" applyFill="1" applyBorder="1" applyAlignment="1">
      <alignment horizontal="justify" vertical="top" wrapText="1"/>
    </xf>
    <xf numFmtId="0" fontId="11" fillId="11" borderId="8" xfId="0" applyFont="1" applyFill="1" applyBorder="1" applyAlignment="1">
      <alignment horizontal="center"/>
    </xf>
    <xf numFmtId="0" fontId="3" fillId="11" borderId="10" xfId="0" applyFont="1" applyFill="1" applyBorder="1" applyAlignment="1">
      <alignment horizontal="center"/>
    </xf>
    <xf numFmtId="0" fontId="14" fillId="11" borderId="10" xfId="0" applyFont="1" applyFill="1" applyBorder="1" applyAlignment="1">
      <alignment vertical="top" wrapText="1"/>
    </xf>
    <xf numFmtId="2" fontId="3" fillId="11" borderId="10" xfId="0" applyNumberFormat="1" applyFont="1" applyFill="1" applyBorder="1" applyAlignment="1">
      <alignment horizontal="center"/>
    </xf>
    <xf numFmtId="2" fontId="3" fillId="11" borderId="20" xfId="0" applyNumberFormat="1" applyFont="1" applyFill="1" applyBorder="1" applyAlignment="1">
      <alignment horizontal="center"/>
    </xf>
    <xf numFmtId="4" fontId="3" fillId="11" borderId="10" xfId="0" applyNumberFormat="1" applyFont="1" applyFill="1" applyBorder="1" applyAlignment="1">
      <alignment horizontal="center"/>
    </xf>
    <xf numFmtId="0" fontId="0" fillId="11" borderId="0" xfId="0" applyFill="1"/>
    <xf numFmtId="0" fontId="3" fillId="11" borderId="1" xfId="0" applyFont="1" applyFill="1" applyBorder="1" applyAlignment="1">
      <alignment horizontal="center"/>
    </xf>
    <xf numFmtId="49" fontId="3" fillId="11" borderId="1" xfId="0" applyNumberFormat="1" applyFont="1" applyFill="1" applyBorder="1" applyAlignment="1">
      <alignment horizontal="center" vertical="top" wrapText="1"/>
    </xf>
    <xf numFmtId="0" fontId="15" fillId="11" borderId="7" xfId="0" applyFont="1" applyFill="1" applyBorder="1" applyAlignment="1">
      <alignment horizontal="justify" vertical="top" wrapText="1"/>
    </xf>
    <xf numFmtId="2" fontId="3" fillId="11" borderId="1" xfId="0" applyNumberFormat="1" applyFont="1" applyFill="1" applyBorder="1" applyAlignment="1">
      <alignment horizontal="center"/>
    </xf>
    <xf numFmtId="49" fontId="3" fillId="11" borderId="1" xfId="0" applyNumberFormat="1" applyFont="1" applyFill="1" applyBorder="1" applyAlignment="1">
      <alignment horizontal="center" wrapText="1"/>
    </xf>
    <xf numFmtId="0" fontId="3" fillId="11" borderId="25" xfId="0" applyFont="1" applyFill="1" applyBorder="1" applyAlignment="1">
      <alignment horizontal="center" wrapText="1"/>
    </xf>
    <xf numFmtId="0" fontId="3" fillId="11" borderId="1" xfId="0" applyFont="1" applyFill="1" applyBorder="1" applyAlignment="1">
      <alignment horizontal="center" wrapText="1"/>
    </xf>
    <xf numFmtId="4" fontId="3" fillId="11" borderId="7" xfId="0" applyNumberFormat="1" applyFont="1" applyFill="1" applyBorder="1" applyAlignment="1">
      <alignment horizontal="center" wrapText="1"/>
    </xf>
    <xf numFmtId="4" fontId="3" fillId="11" borderId="1" xfId="0" applyNumberFormat="1" applyFont="1" applyFill="1" applyBorder="1" applyAlignment="1">
      <alignment horizontal="center" wrapText="1"/>
    </xf>
    <xf numFmtId="0" fontId="3" fillId="11" borderId="7" xfId="0" applyFont="1" applyFill="1" applyBorder="1" applyAlignment="1">
      <alignment horizontal="center"/>
    </xf>
    <xf numFmtId="0" fontId="15" fillId="11" borderId="1" xfId="0" applyFont="1" applyFill="1" applyBorder="1" applyAlignment="1">
      <alignment horizontal="justify" vertical="top" wrapText="1"/>
    </xf>
    <xf numFmtId="0" fontId="3" fillId="11" borderId="1" xfId="0" applyFont="1" applyFill="1" applyBorder="1" applyAlignment="1">
      <alignment horizontal="center" vertical="center" wrapText="1"/>
    </xf>
    <xf numFmtId="0" fontId="3" fillId="11" borderId="1" xfId="0" applyFont="1" applyFill="1" applyBorder="1" applyAlignment="1">
      <alignment horizontal="justify" vertical="center" wrapText="1"/>
    </xf>
    <xf numFmtId="4" fontId="3" fillId="11" borderId="1" xfId="0" applyNumberFormat="1" applyFont="1" applyFill="1" applyBorder="1" applyAlignment="1">
      <alignment horizontal="center" vertical="center" wrapText="1"/>
    </xf>
    <xf numFmtId="49" fontId="3" fillId="11" borderId="7" xfId="0" applyNumberFormat="1" applyFont="1" applyFill="1" applyBorder="1" applyAlignment="1">
      <alignment horizontal="center" vertical="top" wrapText="1"/>
    </xf>
    <xf numFmtId="0" fontId="3" fillId="11" borderId="26" xfId="0" applyFont="1" applyFill="1" applyBorder="1" applyAlignment="1">
      <alignment horizontal="justify" vertical="center" wrapText="1"/>
    </xf>
    <xf numFmtId="49" fontId="3" fillId="11" borderId="7" xfId="0" applyNumberFormat="1" applyFont="1" applyFill="1" applyBorder="1" applyAlignment="1">
      <alignment horizontal="center" wrapText="1"/>
    </xf>
    <xf numFmtId="0" fontId="3" fillId="11" borderId="7" xfId="0" applyFont="1" applyFill="1" applyBorder="1" applyAlignment="1">
      <alignment horizontal="center" wrapText="1"/>
    </xf>
    <xf numFmtId="4" fontId="3" fillId="11" borderId="25" xfId="0" applyNumberFormat="1" applyFont="1" applyFill="1" applyBorder="1" applyAlignment="1">
      <alignment horizontal="center" wrapText="1"/>
    </xf>
    <xf numFmtId="0" fontId="3" fillId="11" borderId="25" xfId="0" applyFont="1" applyFill="1" applyBorder="1" applyAlignment="1">
      <alignment horizontal="justify" vertical="center" wrapText="1"/>
    </xf>
    <xf numFmtId="4" fontId="3" fillId="4" borderId="17" xfId="0" applyNumberFormat="1" applyFont="1" applyFill="1" applyBorder="1" applyAlignment="1">
      <alignment horizontal="center" vertical="center"/>
    </xf>
    <xf numFmtId="14" fontId="16" fillId="4" borderId="17" xfId="0" applyNumberFormat="1" applyFont="1" applyFill="1" applyBorder="1" applyAlignment="1">
      <alignment horizontal="center" vertical="center" wrapText="1"/>
    </xf>
    <xf numFmtId="0" fontId="16" fillId="4" borderId="17" xfId="0" applyFont="1" applyFill="1" applyBorder="1" applyAlignment="1">
      <alignment horizontal="justify" vertical="top" wrapText="1"/>
    </xf>
    <xf numFmtId="0" fontId="3" fillId="4" borderId="37" xfId="0" applyFont="1" applyFill="1" applyBorder="1" applyAlignment="1">
      <alignment horizontal="center" vertical="center"/>
    </xf>
    <xf numFmtId="0" fontId="0" fillId="12" borderId="0" xfId="0" applyFill="1"/>
    <xf numFmtId="0" fontId="3" fillId="12" borderId="1" xfId="0" applyFont="1" applyFill="1" applyBorder="1" applyAlignment="1">
      <alignment horizontal="justify" vertical="top" wrapText="1"/>
    </xf>
    <xf numFmtId="0" fontId="3" fillId="12" borderId="1" xfId="0" applyFont="1" applyFill="1" applyBorder="1" applyAlignment="1">
      <alignment horizontal="center"/>
    </xf>
    <xf numFmtId="49" fontId="3" fillId="12" borderId="1" xfId="0" applyNumberFormat="1" applyFont="1" applyFill="1" applyBorder="1" applyAlignment="1">
      <alignment horizontal="center" vertical="top" wrapText="1"/>
    </xf>
    <xf numFmtId="2" fontId="3" fillId="12" borderId="1" xfId="0" applyNumberFormat="1" applyFont="1" applyFill="1" applyBorder="1" applyAlignment="1">
      <alignment horizontal="center"/>
    </xf>
    <xf numFmtId="49" fontId="3" fillId="12" borderId="1" xfId="0" applyNumberFormat="1" applyFont="1" applyFill="1" applyBorder="1" applyAlignment="1">
      <alignment horizontal="center" wrapText="1"/>
    </xf>
    <xf numFmtId="0" fontId="3" fillId="12" borderId="1" xfId="0" applyFont="1" applyFill="1" applyBorder="1" applyAlignment="1">
      <alignment horizontal="center" wrapText="1"/>
    </xf>
    <xf numFmtId="4" fontId="3" fillId="12" borderId="1" xfId="0" quotePrefix="1" applyNumberFormat="1" applyFont="1" applyFill="1" applyBorder="1" applyAlignment="1">
      <alignment horizontal="center" wrapText="1"/>
    </xf>
    <xf numFmtId="4" fontId="3" fillId="12" borderId="1" xfId="0" applyNumberFormat="1" applyFont="1" applyFill="1" applyBorder="1" applyAlignment="1">
      <alignment horizontal="center" wrapText="1"/>
    </xf>
    <xf numFmtId="4" fontId="20" fillId="12" borderId="1" xfId="0" quotePrefix="1" applyNumberFormat="1" applyFont="1" applyFill="1" applyBorder="1" applyAlignment="1">
      <alignment horizontal="center" wrapText="1"/>
    </xf>
    <xf numFmtId="164" fontId="0" fillId="12" borderId="0" xfId="0" applyNumberFormat="1" applyFill="1"/>
    <xf numFmtId="2" fontId="3" fillId="4" borderId="25" xfId="0" applyNumberFormat="1" applyFont="1" applyFill="1" applyBorder="1" applyAlignment="1">
      <alignment horizontal="center" vertical="center" wrapText="1"/>
    </xf>
    <xf numFmtId="0" fontId="16" fillId="4" borderId="38" xfId="0" applyFont="1" applyFill="1" applyBorder="1" applyAlignment="1">
      <alignment horizontal="center" vertical="center" wrapText="1"/>
    </xf>
    <xf numFmtId="49" fontId="16" fillId="4" borderId="17" xfId="0" applyNumberFormat="1" applyFont="1" applyFill="1" applyBorder="1" applyAlignment="1">
      <alignment horizontal="center" vertical="center" wrapText="1"/>
    </xf>
    <xf numFmtId="0" fontId="16" fillId="4" borderId="17" xfId="0" applyFont="1" applyFill="1" applyBorder="1" applyAlignment="1">
      <alignment horizontal="center" vertical="center" wrapText="1"/>
    </xf>
    <xf numFmtId="4" fontId="5" fillId="4" borderId="17" xfId="0" applyNumberFormat="1" applyFont="1" applyFill="1" applyBorder="1" applyAlignment="1">
      <alignment horizontal="center" vertical="center"/>
    </xf>
    <xf numFmtId="14" fontId="5" fillId="4" borderId="17" xfId="0" applyNumberFormat="1" applyFont="1" applyFill="1" applyBorder="1" applyAlignment="1">
      <alignment horizontal="center" vertical="center" wrapText="1"/>
    </xf>
    <xf numFmtId="4" fontId="24" fillId="4" borderId="17" xfId="0" applyNumberFormat="1" applyFont="1" applyFill="1" applyBorder="1" applyAlignment="1">
      <alignment horizontal="center" vertical="center"/>
    </xf>
    <xf numFmtId="0" fontId="8" fillId="4" borderId="3" xfId="0" applyFont="1" applyFill="1" applyBorder="1" applyAlignment="1">
      <alignment horizontal="center"/>
    </xf>
    <xf numFmtId="0" fontId="8" fillId="4" borderId="28" xfId="0" applyFont="1" applyFill="1" applyBorder="1" applyAlignment="1">
      <alignment horizontal="center"/>
    </xf>
    <xf numFmtId="0" fontId="8" fillId="4" borderId="0" xfId="0" applyFont="1" applyFill="1" applyBorder="1" applyAlignment="1">
      <alignment horizontal="center"/>
    </xf>
    <xf numFmtId="2" fontId="3" fillId="4" borderId="10" xfId="0" applyNumberFormat="1" applyFont="1" applyFill="1" applyBorder="1" applyAlignment="1">
      <alignment horizontal="center"/>
    </xf>
    <xf numFmtId="2" fontId="3" fillId="4" borderId="9" xfId="0" applyNumberFormat="1" applyFont="1" applyFill="1" applyBorder="1" applyAlignment="1">
      <alignment horizontal="center"/>
    </xf>
    <xf numFmtId="2" fontId="3" fillId="4" borderId="1" xfId="0" applyNumberFormat="1" applyFont="1" applyFill="1" applyBorder="1" applyAlignment="1">
      <alignment horizontal="center"/>
    </xf>
    <xf numFmtId="2" fontId="3" fillId="4" borderId="7" xfId="0" applyNumberFormat="1" applyFont="1" applyFill="1" applyBorder="1" applyAlignment="1">
      <alignment horizontal="center"/>
    </xf>
    <xf numFmtId="2" fontId="3" fillId="4" borderId="23" xfId="0" applyNumberFormat="1" applyFont="1" applyFill="1" applyBorder="1" applyAlignment="1">
      <alignment horizontal="center"/>
    </xf>
    <xf numFmtId="2" fontId="3" fillId="4" borderId="11" xfId="0" applyNumberFormat="1" applyFont="1" applyFill="1" applyBorder="1" applyAlignment="1">
      <alignment horizontal="center"/>
    </xf>
    <xf numFmtId="0" fontId="0" fillId="4" borderId="33" xfId="0" applyFill="1" applyBorder="1"/>
    <xf numFmtId="0" fontId="0" fillId="4" borderId="34" xfId="0" applyFill="1" applyBorder="1"/>
    <xf numFmtId="0" fontId="0" fillId="4" borderId="36" xfId="0" applyFill="1" applyBorder="1"/>
    <xf numFmtId="0" fontId="6" fillId="4" borderId="6" xfId="0" applyFont="1" applyFill="1" applyBorder="1" applyAlignment="1">
      <alignment horizontal="center" vertical="center" wrapText="1"/>
    </xf>
    <xf numFmtId="0" fontId="4" fillId="4" borderId="1" xfId="0" applyFont="1" applyFill="1" applyBorder="1" applyAlignment="1">
      <alignment horizontal="center" vertical="top" wrapText="1"/>
    </xf>
    <xf numFmtId="0" fontId="4" fillId="4" borderId="1" xfId="0" applyFont="1" applyFill="1" applyBorder="1" applyAlignment="1">
      <alignment horizontal="center" vertical="center" wrapText="1"/>
    </xf>
    <xf numFmtId="0" fontId="0" fillId="14" borderId="0" xfId="0" applyFill="1"/>
    <xf numFmtId="0" fontId="0" fillId="4" borderId="0" xfId="0" applyFill="1" applyAlignment="1">
      <alignment vertical="center"/>
    </xf>
    <xf numFmtId="0" fontId="16" fillId="4" borderId="0" xfId="0" applyFont="1" applyFill="1" applyAlignment="1">
      <alignment vertical="center"/>
    </xf>
    <xf numFmtId="0" fontId="16" fillId="4" borderId="17" xfId="0" applyFont="1" applyFill="1" applyBorder="1" applyAlignment="1">
      <alignment vertical="center"/>
    </xf>
    <xf numFmtId="0" fontId="0" fillId="4" borderId="0" xfId="0" applyFont="1" applyFill="1"/>
    <xf numFmtId="4" fontId="3" fillId="14" borderId="17" xfId="0" applyNumberFormat="1" applyFont="1" applyFill="1" applyBorder="1" applyAlignment="1">
      <alignment horizontal="center" vertical="center"/>
    </xf>
    <xf numFmtId="0" fontId="0" fillId="13" borderId="0" xfId="0" applyFill="1"/>
    <xf numFmtId="0" fontId="4" fillId="4" borderId="6" xfId="0" applyFont="1" applyFill="1" applyBorder="1" applyAlignment="1">
      <alignment horizontal="center" vertical="top" wrapText="1"/>
    </xf>
    <xf numFmtId="2" fontId="4" fillId="4" borderId="1" xfId="0" applyNumberFormat="1" applyFont="1" applyFill="1" applyBorder="1" applyAlignment="1">
      <alignment horizontal="center" vertical="center"/>
    </xf>
    <xf numFmtId="49" fontId="4" fillId="4"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xf>
    <xf numFmtId="4" fontId="4" fillId="4" borderId="1" xfId="0" quotePrefix="1" applyNumberFormat="1" applyFont="1" applyFill="1" applyBorder="1" applyAlignment="1">
      <alignment horizontal="center" vertical="center" wrapText="1"/>
    </xf>
    <xf numFmtId="4" fontId="4" fillId="4" borderId="1" xfId="0" applyNumberFormat="1" applyFont="1" applyFill="1" applyBorder="1" applyAlignment="1">
      <alignment horizontal="center" vertical="center" wrapText="1"/>
    </xf>
    <xf numFmtId="4" fontId="6" fillId="4" borderId="6" xfId="0" applyNumberFormat="1" applyFont="1" applyFill="1" applyBorder="1" applyAlignment="1">
      <alignment horizontal="center" vertical="center" wrapText="1"/>
    </xf>
    <xf numFmtId="0" fontId="6" fillId="4" borderId="6" xfId="0" applyFont="1" applyFill="1" applyBorder="1" applyAlignment="1">
      <alignment horizontal="center" vertical="center"/>
    </xf>
    <xf numFmtId="0" fontId="6" fillId="4" borderId="6" xfId="0" applyFont="1" applyFill="1" applyBorder="1" applyAlignment="1">
      <alignment horizontal="center" vertical="top" wrapText="1"/>
    </xf>
    <xf numFmtId="0" fontId="4" fillId="4" borderId="6"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4" fillId="14" borderId="6" xfId="0" applyFont="1" applyFill="1" applyBorder="1" applyAlignment="1">
      <alignment horizontal="center" vertical="top" wrapText="1"/>
    </xf>
    <xf numFmtId="0" fontId="14" fillId="14" borderId="8" xfId="0" applyFont="1" applyFill="1" applyBorder="1" applyAlignment="1">
      <alignment vertical="top" wrapText="1"/>
    </xf>
    <xf numFmtId="0" fontId="6" fillId="14" borderId="6" xfId="0" applyFont="1" applyFill="1" applyBorder="1" applyAlignment="1">
      <alignment horizontal="center" vertical="top" wrapText="1"/>
    </xf>
    <xf numFmtId="0" fontId="6" fillId="14" borderId="6" xfId="0" applyFont="1" applyFill="1" applyBorder="1" applyAlignment="1">
      <alignment horizontal="center" vertical="center" wrapText="1"/>
    </xf>
    <xf numFmtId="0" fontId="4" fillId="14" borderId="6" xfId="0" applyFont="1" applyFill="1" applyBorder="1" applyAlignment="1">
      <alignment horizontal="center" vertical="center" wrapText="1"/>
    </xf>
    <xf numFmtId="0" fontId="6" fillId="14" borderId="15" xfId="0" applyFont="1" applyFill="1" applyBorder="1" applyAlignment="1">
      <alignment horizontal="center" vertical="center" wrapText="1"/>
    </xf>
    <xf numFmtId="4" fontId="6" fillId="14" borderId="6" xfId="0" applyNumberFormat="1" applyFont="1" applyFill="1" applyBorder="1" applyAlignment="1">
      <alignment horizontal="center" vertical="center" wrapText="1"/>
    </xf>
    <xf numFmtId="4" fontId="6" fillId="14" borderId="11" xfId="0" applyNumberFormat="1" applyFont="1" applyFill="1" applyBorder="1" applyAlignment="1">
      <alignment horizontal="center" vertical="center" wrapText="1"/>
    </xf>
    <xf numFmtId="0" fontId="14" fillId="14" borderId="10" xfId="0" applyFont="1" applyFill="1" applyBorder="1" applyAlignment="1">
      <alignment vertical="top" wrapText="1"/>
    </xf>
    <xf numFmtId="0" fontId="6" fillId="14" borderId="11" xfId="0" applyFont="1" applyFill="1" applyBorder="1" applyAlignment="1">
      <alignment horizontal="center" vertical="center" wrapText="1"/>
    </xf>
    <xf numFmtId="4" fontId="6" fillId="14" borderId="4" xfId="0" applyNumberFormat="1" applyFont="1" applyFill="1" applyBorder="1" applyAlignment="1">
      <alignment horizontal="center" vertical="center" wrapText="1"/>
    </xf>
    <xf numFmtId="4" fontId="6" fillId="14" borderId="17" xfId="0" applyNumberFormat="1" applyFont="1" applyFill="1" applyBorder="1" applyAlignment="1">
      <alignment horizontal="center" vertical="center" wrapText="1"/>
    </xf>
    <xf numFmtId="4" fontId="6" fillId="14" borderId="5" xfId="0" applyNumberFormat="1" applyFont="1" applyFill="1" applyBorder="1" applyAlignment="1">
      <alignment horizontal="center" vertical="center" wrapText="1"/>
    </xf>
    <xf numFmtId="0" fontId="6" fillId="14" borderId="11" xfId="0" applyFont="1" applyFill="1" applyBorder="1" applyAlignment="1">
      <alignment horizontal="center" vertical="top" wrapText="1"/>
    </xf>
    <xf numFmtId="0" fontId="4" fillId="14" borderId="11" xfId="0" applyFont="1" applyFill="1" applyBorder="1" applyAlignment="1">
      <alignment horizontal="center" vertical="center" wrapText="1"/>
    </xf>
    <xf numFmtId="0" fontId="6" fillId="14" borderId="4" xfId="0" applyFont="1" applyFill="1" applyBorder="1" applyAlignment="1">
      <alignment horizontal="center" vertical="center" wrapText="1"/>
    </xf>
    <xf numFmtId="0" fontId="11" fillId="14" borderId="8" xfId="0" applyFont="1" applyFill="1" applyBorder="1" applyAlignment="1">
      <alignment horizontal="center"/>
    </xf>
    <xf numFmtId="0" fontId="3" fillId="14" borderId="8" xfId="0" applyFont="1" applyFill="1" applyBorder="1" applyAlignment="1">
      <alignment horizontal="center"/>
    </xf>
    <xf numFmtId="2" fontId="3" fillId="14" borderId="8" xfId="0" applyNumberFormat="1" applyFont="1" applyFill="1" applyBorder="1" applyAlignment="1">
      <alignment horizontal="center"/>
    </xf>
    <xf numFmtId="2" fontId="3" fillId="14" borderId="12" xfId="0" applyNumberFormat="1" applyFont="1" applyFill="1" applyBorder="1" applyAlignment="1">
      <alignment horizontal="center"/>
    </xf>
    <xf numFmtId="4" fontId="3" fillId="14" borderId="8" xfId="0" applyNumberFormat="1" applyFont="1" applyFill="1" applyBorder="1" applyAlignment="1">
      <alignment horizontal="center"/>
    </xf>
    <xf numFmtId="49" fontId="18" fillId="14" borderId="0" xfId="0" applyNumberFormat="1" applyFont="1" applyFill="1" applyBorder="1" applyAlignment="1">
      <alignment vertical="center" wrapText="1"/>
    </xf>
    <xf numFmtId="49" fontId="18" fillId="14" borderId="46" xfId="0" applyNumberFormat="1" applyFont="1" applyFill="1" applyBorder="1" applyAlignment="1">
      <alignment vertical="center" wrapText="1"/>
    </xf>
    <xf numFmtId="165" fontId="16" fillId="14" borderId="25" xfId="0" applyNumberFormat="1" applyFont="1" applyFill="1" applyBorder="1" applyAlignment="1">
      <alignment vertical="center" wrapText="1"/>
    </xf>
    <xf numFmtId="4" fontId="6" fillId="13" borderId="0" xfId="0" applyNumberFormat="1" applyFont="1" applyFill="1" applyBorder="1" applyAlignment="1">
      <alignment horizontal="center"/>
    </xf>
    <xf numFmtId="0" fontId="3" fillId="3" borderId="17" xfId="0" applyFont="1" applyFill="1" applyBorder="1" applyAlignment="1">
      <alignment vertical="top"/>
    </xf>
    <xf numFmtId="4" fontId="3" fillId="3" borderId="17" xfId="0" applyNumberFormat="1" applyFont="1" applyFill="1" applyBorder="1" applyAlignment="1">
      <alignment horizontal="center" vertical="center" wrapText="1"/>
    </xf>
    <xf numFmtId="2" fontId="3" fillId="3" borderId="17" xfId="0" applyNumberFormat="1" applyFont="1" applyFill="1" applyBorder="1" applyAlignment="1">
      <alignment horizontal="center" vertical="center" wrapText="1"/>
    </xf>
    <xf numFmtId="49" fontId="11" fillId="3" borderId="41" xfId="0" applyNumberFormat="1" applyFont="1" applyFill="1" applyBorder="1" applyAlignment="1">
      <alignment horizontal="center" vertical="center" wrapText="1"/>
    </xf>
    <xf numFmtId="49" fontId="11" fillId="3" borderId="38" xfId="0" applyNumberFormat="1" applyFont="1" applyFill="1" applyBorder="1" applyAlignment="1">
      <alignment horizontal="center" vertical="center" wrapText="1"/>
    </xf>
    <xf numFmtId="0" fontId="3" fillId="3" borderId="17" xfId="0" applyFont="1" applyFill="1" applyBorder="1" applyAlignment="1">
      <alignment horizontal="center" vertical="center" wrapText="1"/>
    </xf>
    <xf numFmtId="0" fontId="3" fillId="3" borderId="17" xfId="0" applyFont="1" applyFill="1" applyBorder="1" applyAlignment="1">
      <alignment horizontal="center" vertical="center"/>
    </xf>
    <xf numFmtId="4" fontId="3" fillId="3" borderId="17" xfId="0" applyNumberFormat="1" applyFont="1" applyFill="1" applyBorder="1" applyAlignment="1">
      <alignment horizontal="center" vertical="center"/>
    </xf>
    <xf numFmtId="49" fontId="3" fillId="3" borderId="17" xfId="0" applyNumberFormat="1" applyFont="1" applyFill="1" applyBorder="1" applyAlignment="1">
      <alignment horizontal="center" vertical="center" wrapText="1"/>
    </xf>
    <xf numFmtId="49" fontId="11" fillId="3" borderId="48" xfId="0" applyNumberFormat="1" applyFont="1" applyFill="1" applyBorder="1" applyAlignment="1">
      <alignment horizontal="center" vertical="center" wrapText="1"/>
    </xf>
    <xf numFmtId="49" fontId="11" fillId="3" borderId="47" xfId="0" applyNumberFormat="1" applyFont="1" applyFill="1" applyBorder="1" applyAlignment="1">
      <alignment horizontal="center" vertical="center" wrapText="1"/>
    </xf>
    <xf numFmtId="4" fontId="3" fillId="0" borderId="17" xfId="0" applyNumberFormat="1" applyFont="1" applyFill="1" applyBorder="1" applyAlignment="1">
      <alignment horizontal="center" vertical="center" wrapText="1"/>
    </xf>
    <xf numFmtId="49" fontId="3" fillId="0" borderId="17" xfId="0" applyNumberFormat="1" applyFont="1" applyFill="1" applyBorder="1" applyAlignment="1">
      <alignment horizontal="center" vertical="center" wrapText="1"/>
    </xf>
    <xf numFmtId="0" fontId="3" fillId="0" borderId="17" xfId="0" applyFont="1" applyFill="1" applyBorder="1" applyAlignment="1">
      <alignment horizontal="center" vertical="center" wrapText="1"/>
    </xf>
    <xf numFmtId="0" fontId="11" fillId="3" borderId="38" xfId="0" applyFont="1" applyFill="1" applyBorder="1" applyAlignment="1">
      <alignment horizontal="justify" vertical="center" wrapText="1"/>
    </xf>
    <xf numFmtId="0" fontId="11" fillId="3" borderId="39" xfId="0" applyFont="1" applyFill="1" applyBorder="1" applyAlignment="1">
      <alignment horizontal="justify" vertical="center" wrapText="1"/>
    </xf>
    <xf numFmtId="49" fontId="11" fillId="3" borderId="39" xfId="0" applyNumberFormat="1" applyFont="1" applyFill="1" applyBorder="1" applyAlignment="1">
      <alignment horizontal="center" vertical="center" wrapText="1"/>
    </xf>
    <xf numFmtId="49" fontId="11" fillId="3" borderId="50" xfId="0" applyNumberFormat="1" applyFont="1" applyFill="1" applyBorder="1" applyAlignment="1">
      <alignment horizontal="center" vertical="center" wrapText="1"/>
    </xf>
    <xf numFmtId="49" fontId="11" fillId="3" borderId="17" xfId="0" applyNumberFormat="1" applyFont="1" applyFill="1" applyBorder="1" applyAlignment="1">
      <alignment horizontal="center" vertical="center" wrapText="1"/>
    </xf>
    <xf numFmtId="14" fontId="16" fillId="3" borderId="17" xfId="0" applyNumberFormat="1" applyFont="1" applyFill="1" applyBorder="1" applyAlignment="1">
      <alignment horizontal="center" vertical="center" wrapText="1"/>
    </xf>
    <xf numFmtId="4" fontId="11" fillId="3" borderId="38" xfId="0" applyNumberFormat="1" applyFont="1" applyFill="1" applyBorder="1" applyAlignment="1">
      <alignment horizontal="center" vertical="center" wrapText="1"/>
    </xf>
    <xf numFmtId="0" fontId="16" fillId="3" borderId="17" xfId="0" applyFont="1" applyFill="1" applyBorder="1" applyAlignment="1">
      <alignment horizontal="justify" vertical="top" wrapText="1"/>
    </xf>
    <xf numFmtId="2" fontId="3" fillId="3" borderId="37" xfId="0" applyNumberFormat="1" applyFont="1" applyFill="1" applyBorder="1" applyAlignment="1">
      <alignment horizontal="center" vertical="center" wrapText="1"/>
    </xf>
    <xf numFmtId="14" fontId="16" fillId="3" borderId="55" xfId="0" applyNumberFormat="1" applyFont="1" applyFill="1" applyBorder="1" applyAlignment="1">
      <alignment horizontal="center" vertical="center" wrapText="1"/>
    </xf>
    <xf numFmtId="0" fontId="0" fillId="3" borderId="17" xfId="0" applyFill="1" applyBorder="1"/>
    <xf numFmtId="49" fontId="3" fillId="3" borderId="17" xfId="0" applyNumberFormat="1" applyFont="1" applyFill="1" applyBorder="1" applyAlignment="1">
      <alignment horizontal="center" vertical="top" wrapText="1"/>
    </xf>
    <xf numFmtId="0" fontId="3" fillId="3" borderId="37" xfId="0" applyFont="1" applyFill="1" applyBorder="1" applyAlignment="1">
      <alignment horizontal="center" vertical="center"/>
    </xf>
    <xf numFmtId="0" fontId="22" fillId="3" borderId="17" xfId="0" applyFont="1" applyFill="1" applyBorder="1" applyAlignment="1">
      <alignment horizontal="justify" vertical="top" wrapText="1"/>
    </xf>
    <xf numFmtId="49" fontId="16" fillId="3" borderId="17" xfId="0" applyNumberFormat="1" applyFont="1" applyFill="1" applyBorder="1" applyAlignment="1">
      <alignment horizontal="center" vertical="center" wrapText="1"/>
    </xf>
    <xf numFmtId="0" fontId="6" fillId="6" borderId="0" xfId="0" applyFont="1" applyFill="1" applyBorder="1" applyAlignment="1">
      <alignment horizontal="center"/>
    </xf>
    <xf numFmtId="4" fontId="6" fillId="6" borderId="0" xfId="0" applyNumberFormat="1" applyFont="1" applyFill="1" applyBorder="1" applyAlignment="1">
      <alignment horizontal="center"/>
    </xf>
    <xf numFmtId="14" fontId="16" fillId="3" borderId="17" xfId="0" applyNumberFormat="1" applyFont="1" applyFill="1" applyBorder="1" applyAlignment="1">
      <alignment horizontal="left" vertical="center" wrapText="1"/>
    </xf>
    <xf numFmtId="4" fontId="11" fillId="3" borderId="17" xfId="0" applyNumberFormat="1"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25" xfId="0" applyFont="1" applyFill="1" applyBorder="1" applyAlignment="1">
      <alignment horizontal="center" vertical="center"/>
    </xf>
    <xf numFmtId="4" fontId="3" fillId="3" borderId="25" xfId="0" applyNumberFormat="1" applyFont="1" applyFill="1" applyBorder="1" applyAlignment="1">
      <alignment horizontal="center" vertical="center"/>
    </xf>
    <xf numFmtId="0" fontId="3" fillId="3" borderId="38" xfId="0" applyFont="1" applyFill="1" applyBorder="1" applyAlignment="1">
      <alignment horizontal="justify" vertical="center" wrapText="1"/>
    </xf>
    <xf numFmtId="49" fontId="11" fillId="3" borderId="45" xfId="0" applyNumberFormat="1" applyFont="1" applyFill="1" applyBorder="1" applyAlignment="1">
      <alignment horizontal="center" vertical="center" wrapText="1"/>
    </xf>
    <xf numFmtId="0" fontId="3" fillId="3" borderId="54" xfId="0" applyFont="1" applyFill="1" applyBorder="1" applyAlignment="1">
      <alignment horizontal="center" vertical="center" wrapText="1"/>
    </xf>
    <xf numFmtId="0" fontId="3" fillId="3" borderId="54" xfId="0" applyFont="1" applyFill="1" applyBorder="1" applyAlignment="1">
      <alignment horizontal="center" vertical="center"/>
    </xf>
    <xf numFmtId="4" fontId="3" fillId="3" borderId="54" xfId="0" applyNumberFormat="1" applyFont="1" applyFill="1" applyBorder="1" applyAlignment="1">
      <alignment horizontal="center" vertical="center"/>
    </xf>
    <xf numFmtId="49" fontId="16" fillId="3" borderId="38" xfId="0" applyNumberFormat="1" applyFont="1" applyFill="1" applyBorder="1" applyAlignment="1">
      <alignment horizontal="center" vertical="center" wrapText="1"/>
    </xf>
    <xf numFmtId="4" fontId="0" fillId="4" borderId="0" xfId="0" applyNumberFormat="1" applyFill="1"/>
    <xf numFmtId="0" fontId="16" fillId="3" borderId="47" xfId="0" applyFont="1" applyFill="1" applyBorder="1" applyAlignment="1">
      <alignment horizontal="justify" vertical="top" wrapText="1"/>
    </xf>
    <xf numFmtId="4" fontId="3" fillId="4" borderId="56" xfId="0" applyNumberFormat="1" applyFont="1" applyFill="1" applyBorder="1" applyAlignment="1">
      <alignment horizontal="left" vertical="center"/>
    </xf>
    <xf numFmtId="0" fontId="22" fillId="3" borderId="37" xfId="0" applyFont="1" applyFill="1" applyBorder="1" applyAlignment="1">
      <alignment horizontal="justify" vertical="top" wrapText="1"/>
    </xf>
    <xf numFmtId="0" fontId="11" fillId="0" borderId="38" xfId="0" applyFont="1" applyFill="1" applyBorder="1" applyAlignment="1">
      <alignment horizontal="justify" vertical="top" wrapText="1"/>
    </xf>
    <xf numFmtId="2" fontId="3" fillId="0" borderId="17" xfId="0" applyNumberFormat="1" applyFont="1" applyFill="1" applyBorder="1" applyAlignment="1">
      <alignment horizontal="center" vertical="center" wrapText="1"/>
    </xf>
    <xf numFmtId="49" fontId="11" fillId="0" borderId="17" xfId="0" applyNumberFormat="1" applyFont="1" applyFill="1" applyBorder="1" applyAlignment="1">
      <alignment horizontal="center" vertical="center" wrapText="1"/>
    </xf>
    <xf numFmtId="0" fontId="3" fillId="0" borderId="17" xfId="0" applyFont="1" applyFill="1" applyBorder="1" applyAlignment="1">
      <alignment horizontal="center" vertical="center"/>
    </xf>
    <xf numFmtId="4" fontId="3" fillId="0" borderId="17" xfId="0" applyNumberFormat="1" applyFont="1" applyFill="1" applyBorder="1" applyAlignment="1">
      <alignment horizontal="center" vertical="center"/>
    </xf>
    <xf numFmtId="0" fontId="3" fillId="3" borderId="22" xfId="0" applyFont="1" applyFill="1" applyBorder="1" applyAlignment="1">
      <alignment horizontal="center" vertical="top"/>
    </xf>
    <xf numFmtId="0" fontId="3" fillId="0" borderId="22" xfId="0" applyFont="1" applyFill="1" applyBorder="1" applyAlignment="1">
      <alignment horizontal="center" vertical="top"/>
    </xf>
    <xf numFmtId="49" fontId="11" fillId="3" borderId="58" xfId="0" applyNumberFormat="1" applyFont="1" applyFill="1" applyBorder="1" applyAlignment="1">
      <alignment horizontal="center" vertical="center" wrapText="1"/>
    </xf>
    <xf numFmtId="49" fontId="11" fillId="3" borderId="59" xfId="0" applyNumberFormat="1" applyFont="1" applyFill="1" applyBorder="1" applyAlignment="1">
      <alignment horizontal="center" vertical="center" wrapText="1"/>
    </xf>
    <xf numFmtId="49" fontId="11" fillId="0" borderId="59" xfId="0" applyNumberFormat="1" applyFont="1" applyFill="1" applyBorder="1" applyAlignment="1">
      <alignment horizontal="center" vertical="center" wrapText="1"/>
    </xf>
    <xf numFmtId="49" fontId="11" fillId="3" borderId="57" xfId="0" applyNumberFormat="1" applyFont="1" applyFill="1" applyBorder="1" applyAlignment="1">
      <alignment horizontal="center" vertical="center" wrapText="1"/>
    </xf>
    <xf numFmtId="0" fontId="3" fillId="3" borderId="22" xfId="0" applyFont="1" applyFill="1" applyBorder="1" applyAlignment="1">
      <alignment horizontal="center"/>
    </xf>
    <xf numFmtId="0" fontId="16" fillId="3" borderId="48" xfId="0" applyFont="1" applyFill="1" applyBorder="1" applyAlignment="1">
      <alignment horizontal="justify" vertical="center" wrapText="1"/>
    </xf>
    <xf numFmtId="4" fontId="11" fillId="3" borderId="48" xfId="0" applyNumberFormat="1" applyFont="1" applyFill="1" applyBorder="1" applyAlignment="1">
      <alignment horizontal="center" vertical="center" wrapText="1"/>
    </xf>
    <xf numFmtId="0" fontId="16" fillId="3" borderId="55" xfId="0" applyFont="1" applyFill="1" applyBorder="1" applyAlignment="1">
      <alignment horizontal="justify" vertical="top" wrapText="1"/>
    </xf>
    <xf numFmtId="0" fontId="16" fillId="3" borderId="60" xfId="0" applyFont="1" applyFill="1" applyBorder="1" applyAlignment="1">
      <alignment horizontal="justify" vertical="top" wrapText="1"/>
    </xf>
    <xf numFmtId="49" fontId="11" fillId="3" borderId="61" xfId="0" applyNumberFormat="1" applyFont="1" applyFill="1" applyBorder="1" applyAlignment="1">
      <alignment horizontal="center" vertical="center" wrapText="1"/>
    </xf>
    <xf numFmtId="49" fontId="11" fillId="3" borderId="62" xfId="0" applyNumberFormat="1" applyFont="1" applyFill="1" applyBorder="1" applyAlignment="1">
      <alignment horizontal="center" vertical="center" wrapText="1"/>
    </xf>
    <xf numFmtId="49" fontId="3" fillId="3" borderId="25" xfId="0" applyNumberFormat="1" applyFont="1" applyFill="1" applyBorder="1" applyAlignment="1">
      <alignment horizontal="center" vertical="top" wrapText="1"/>
    </xf>
    <xf numFmtId="49" fontId="3" fillId="6" borderId="0" xfId="0" applyNumberFormat="1" applyFont="1" applyFill="1" applyBorder="1" applyAlignment="1">
      <alignment horizontal="center" vertical="top" wrapText="1"/>
    </xf>
    <xf numFmtId="0" fontId="4" fillId="3" borderId="6" xfId="0" applyFont="1" applyFill="1" applyBorder="1" applyAlignment="1">
      <alignment horizontal="center" vertical="top" wrapText="1"/>
    </xf>
    <xf numFmtId="4" fontId="4" fillId="3" borderId="9" xfId="0" applyNumberFormat="1" applyFont="1" applyFill="1" applyBorder="1" applyAlignment="1">
      <alignment horizontal="center" vertical="center" wrapText="1"/>
    </xf>
    <xf numFmtId="0" fontId="4" fillId="3" borderId="1" xfId="0" applyFont="1" applyFill="1" applyBorder="1" applyAlignment="1">
      <alignment horizontal="center" vertical="top" wrapText="1"/>
    </xf>
    <xf numFmtId="49" fontId="4" fillId="3" borderId="17" xfId="0" applyNumberFormat="1"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3" borderId="52" xfId="0" applyFont="1" applyFill="1" applyBorder="1" applyAlignment="1">
      <alignment horizontal="center" vertical="center"/>
    </xf>
    <xf numFmtId="0" fontId="16" fillId="3" borderId="0" xfId="0" applyFont="1" applyFill="1"/>
    <xf numFmtId="0" fontId="4" fillId="3" borderId="15" xfId="0" applyFont="1" applyFill="1" applyBorder="1" applyAlignment="1">
      <alignment horizontal="center" vertical="top" wrapText="1"/>
    </xf>
    <xf numFmtId="4" fontId="4" fillId="3" borderId="19" xfId="0" applyNumberFormat="1" applyFont="1" applyFill="1" applyBorder="1" applyAlignment="1">
      <alignment horizontal="center" vertical="center" wrapText="1"/>
    </xf>
    <xf numFmtId="49" fontId="4" fillId="3" borderId="51" xfId="0" applyNumberFormat="1" applyFont="1" applyFill="1" applyBorder="1" applyAlignment="1">
      <alignment horizontal="center" vertical="center" wrapText="1"/>
    </xf>
    <xf numFmtId="0" fontId="4" fillId="3" borderId="25"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19" xfId="0" applyFont="1" applyFill="1" applyBorder="1" applyAlignment="1">
      <alignment horizontal="center" vertical="center"/>
    </xf>
    <xf numFmtId="4" fontId="4" fillId="3" borderId="17" xfId="0" applyNumberFormat="1" applyFont="1" applyFill="1" applyBorder="1" applyAlignment="1">
      <alignment horizontal="center" vertical="center" wrapText="1"/>
    </xf>
    <xf numFmtId="4" fontId="4" fillId="3" borderId="1" xfId="0" applyNumberFormat="1" applyFont="1" applyFill="1" applyBorder="1" applyAlignment="1">
      <alignment horizontal="center" vertical="center" wrapText="1"/>
    </xf>
    <xf numFmtId="2" fontId="4" fillId="3" borderId="7" xfId="0" applyNumberFormat="1" applyFont="1" applyFill="1" applyBorder="1" applyAlignment="1">
      <alignment horizontal="center" vertical="center" wrapText="1"/>
    </xf>
    <xf numFmtId="49" fontId="4" fillId="3" borderId="7" xfId="0" applyNumberFormat="1" applyFont="1" applyFill="1" applyBorder="1" applyAlignment="1">
      <alignment horizontal="center" vertical="center" wrapText="1"/>
    </xf>
    <xf numFmtId="0" fontId="4" fillId="3" borderId="1" xfId="0" applyFont="1" applyFill="1" applyBorder="1" applyAlignment="1">
      <alignment horizontal="center" vertical="center"/>
    </xf>
    <xf numFmtId="4" fontId="4" fillId="3" borderId="25" xfId="0" applyNumberFormat="1" applyFont="1" applyFill="1" applyBorder="1" applyAlignment="1">
      <alignment horizontal="center" vertical="center" wrapText="1"/>
    </xf>
    <xf numFmtId="4" fontId="4" fillId="3" borderId="7" xfId="0" applyNumberFormat="1" applyFont="1" applyFill="1" applyBorder="1" applyAlignment="1">
      <alignment horizontal="center" vertical="center" wrapText="1"/>
    </xf>
    <xf numFmtId="0" fontId="3" fillId="3" borderId="26" xfId="0" applyFont="1" applyFill="1" applyBorder="1" applyAlignment="1">
      <alignment horizontal="justify" vertical="center" wrapText="1"/>
    </xf>
    <xf numFmtId="2" fontId="4" fillId="3" borderId="1" xfId="0" applyNumberFormat="1" applyFont="1" applyFill="1" applyBorder="1" applyAlignment="1">
      <alignment horizontal="center" vertical="center"/>
    </xf>
    <xf numFmtId="49" fontId="4" fillId="3"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4" fontId="4" fillId="3" borderId="22" xfId="0" applyNumberFormat="1" applyFont="1" applyFill="1" applyBorder="1" applyAlignment="1">
      <alignment horizontal="center" vertical="center" wrapText="1"/>
    </xf>
    <xf numFmtId="4" fontId="6" fillId="3" borderId="16" xfId="0" applyNumberFormat="1" applyFont="1" applyFill="1" applyBorder="1" applyAlignment="1">
      <alignment horizontal="center" vertical="center" wrapText="1"/>
    </xf>
    <xf numFmtId="0" fontId="11" fillId="3" borderId="63" xfId="0" applyFont="1" applyFill="1" applyBorder="1" applyAlignment="1">
      <alignment horizontal="justify" vertical="top" wrapText="1"/>
    </xf>
    <xf numFmtId="2" fontId="4" fillId="3" borderId="19" xfId="0" applyNumberFormat="1" applyFont="1" applyFill="1" applyBorder="1" applyAlignment="1">
      <alignment horizontal="center" vertical="center" wrapText="1"/>
    </xf>
    <xf numFmtId="0" fontId="4" fillId="3" borderId="53" xfId="0" applyFont="1" applyFill="1" applyBorder="1" applyAlignment="1">
      <alignment horizontal="center" vertical="center" wrapText="1"/>
    </xf>
    <xf numFmtId="4" fontId="4" fillId="3" borderId="39" xfId="0" applyNumberFormat="1" applyFont="1" applyFill="1" applyBorder="1" applyAlignment="1">
      <alignment horizontal="center" vertical="center" wrapText="1"/>
    </xf>
    <xf numFmtId="4" fontId="6" fillId="3" borderId="6" xfId="0" applyNumberFormat="1" applyFont="1" applyFill="1" applyBorder="1" applyAlignment="1">
      <alignment horizontal="center" vertical="center" wrapText="1"/>
    </xf>
    <xf numFmtId="4" fontId="4" fillId="3" borderId="6" xfId="0" applyNumberFormat="1" applyFont="1" applyFill="1" applyBorder="1" applyAlignment="1">
      <alignment horizontal="center" vertical="center" wrapText="1"/>
    </xf>
    <xf numFmtId="0" fontId="16" fillId="3" borderId="0" xfId="0" applyFont="1" applyFill="1" applyAlignment="1">
      <alignment vertical="center"/>
    </xf>
    <xf numFmtId="0" fontId="3" fillId="3" borderId="19" xfId="0" applyFont="1" applyFill="1" applyBorder="1" applyAlignment="1">
      <alignment horizontal="justify" vertical="center" wrapText="1"/>
    </xf>
    <xf numFmtId="0" fontId="4" fillId="3" borderId="17" xfId="0" applyFont="1" applyFill="1" applyBorder="1" applyAlignment="1">
      <alignment horizontal="center" vertical="center"/>
    </xf>
    <xf numFmtId="4" fontId="9" fillId="3" borderId="17" xfId="0" applyNumberFormat="1" applyFont="1" applyFill="1" applyBorder="1" applyAlignment="1">
      <alignment horizontal="center" vertical="center" wrapText="1"/>
    </xf>
    <xf numFmtId="4" fontId="4" fillId="3" borderId="16" xfId="0" applyNumberFormat="1" applyFont="1" applyFill="1" applyBorder="1" applyAlignment="1">
      <alignment horizontal="center" vertical="center" wrapText="1"/>
    </xf>
    <xf numFmtId="0" fontId="16" fillId="4" borderId="17" xfId="0" applyFont="1" applyFill="1" applyBorder="1" applyAlignment="1">
      <alignment horizontal="center" vertical="top" wrapText="1"/>
    </xf>
    <xf numFmtId="4" fontId="6" fillId="3" borderId="5" xfId="0" applyNumberFormat="1" applyFont="1" applyFill="1" applyBorder="1" applyAlignment="1">
      <alignment horizontal="center" vertical="center" wrapText="1"/>
    </xf>
    <xf numFmtId="49" fontId="16" fillId="4" borderId="38" xfId="0" applyNumberFormat="1" applyFont="1" applyFill="1" applyBorder="1" applyAlignment="1">
      <alignment horizontal="center" vertical="center" wrapText="1"/>
    </xf>
    <xf numFmtId="0" fontId="16" fillId="4" borderId="38" xfId="0" applyFont="1" applyFill="1" applyBorder="1" applyAlignment="1">
      <alignment horizontal="justify" vertical="top" wrapText="1"/>
    </xf>
    <xf numFmtId="49" fontId="16" fillId="4" borderId="47" xfId="0" applyNumberFormat="1" applyFont="1" applyFill="1" applyBorder="1" applyAlignment="1">
      <alignment horizontal="center" vertical="center" wrapText="1"/>
    </xf>
    <xf numFmtId="0" fontId="11" fillId="4" borderId="17" xfId="0" applyFont="1" applyFill="1" applyBorder="1" applyAlignment="1">
      <alignment vertical="center"/>
    </xf>
    <xf numFmtId="14" fontId="16" fillId="4" borderId="37" xfId="0" applyNumberFormat="1" applyFont="1" applyFill="1" applyBorder="1" applyAlignment="1">
      <alignment horizontal="center" vertical="center" wrapText="1"/>
    </xf>
    <xf numFmtId="0" fontId="3" fillId="4" borderId="17" xfId="0" applyFont="1" applyFill="1" applyBorder="1" applyAlignment="1">
      <alignment horizontal="center" vertical="center"/>
    </xf>
    <xf numFmtId="0" fontId="16" fillId="4" borderId="49" xfId="0" applyFont="1" applyFill="1" applyBorder="1" applyAlignment="1">
      <alignment horizontal="center" vertical="center" wrapText="1"/>
    </xf>
    <xf numFmtId="0" fontId="27" fillId="4" borderId="0" xfId="0" applyFont="1" applyFill="1"/>
    <xf numFmtId="0" fontId="0" fillId="4" borderId="0" xfId="0" applyFill="1" applyBorder="1"/>
    <xf numFmtId="49" fontId="0" fillId="4" borderId="0" xfId="0" applyNumberFormat="1" applyFill="1" applyAlignment="1">
      <alignment horizontal="center" vertical="center"/>
    </xf>
    <xf numFmtId="0" fontId="0" fillId="4" borderId="0" xfId="0" applyFill="1" applyAlignment="1">
      <alignment horizontal="center"/>
    </xf>
    <xf numFmtId="0" fontId="0" fillId="4" borderId="0" xfId="0" applyFill="1" applyAlignment="1">
      <alignment horizontal="left" vertical="center"/>
    </xf>
    <xf numFmtId="49" fontId="0" fillId="4" borderId="0" xfId="0" applyNumberFormat="1" applyFill="1"/>
    <xf numFmtId="0" fontId="16" fillId="4" borderId="0" xfId="0" applyFont="1" applyFill="1" applyAlignment="1">
      <alignment horizontal="center"/>
    </xf>
    <xf numFmtId="0" fontId="16" fillId="4" borderId="0" xfId="0" applyFont="1" applyFill="1" applyAlignment="1">
      <alignment horizontal="left" vertical="center"/>
    </xf>
    <xf numFmtId="49" fontId="16" fillId="4" borderId="0" xfId="0" applyNumberFormat="1" applyFont="1" applyFill="1"/>
    <xf numFmtId="0" fontId="16" fillId="4" borderId="0" xfId="0" applyFont="1" applyFill="1" applyAlignment="1">
      <alignment horizontal="center" vertical="top" wrapText="1"/>
    </xf>
    <xf numFmtId="0" fontId="16" fillId="4" borderId="0" xfId="0" applyFont="1" applyFill="1" applyAlignment="1">
      <alignment horizontal="left" vertical="top" wrapText="1"/>
    </xf>
    <xf numFmtId="0" fontId="16" fillId="4" borderId="0" xfId="0" applyFont="1" applyFill="1" applyAlignment="1">
      <alignment horizontal="left" vertical="center" wrapText="1"/>
    </xf>
    <xf numFmtId="49" fontId="16" fillId="4" borderId="0" xfId="0" applyNumberFormat="1" applyFont="1" applyFill="1" applyAlignment="1">
      <alignment horizontal="left" vertical="top" wrapText="1"/>
    </xf>
    <xf numFmtId="0" fontId="16" fillId="4" borderId="0" xfId="0" applyFont="1" applyFill="1" applyAlignment="1"/>
    <xf numFmtId="0" fontId="2" fillId="4" borderId="0" xfId="0" applyFont="1" applyFill="1" applyAlignment="1">
      <alignment vertical="top" wrapText="1"/>
    </xf>
    <xf numFmtId="49" fontId="11" fillId="8" borderId="38" xfId="0" applyNumberFormat="1" applyFont="1" applyFill="1" applyBorder="1" applyAlignment="1">
      <alignment horizontal="center" vertical="center" wrapText="1"/>
    </xf>
    <xf numFmtId="0" fontId="11" fillId="8" borderId="38" xfId="0" applyFont="1" applyFill="1" applyBorder="1" applyAlignment="1">
      <alignment horizontal="center" vertical="center" wrapText="1"/>
    </xf>
    <xf numFmtId="4" fontId="11" fillId="8" borderId="38" xfId="0" applyNumberFormat="1" applyFont="1" applyFill="1" applyBorder="1" applyAlignment="1">
      <alignment horizontal="center" vertical="center" wrapText="1"/>
    </xf>
    <xf numFmtId="49" fontId="3" fillId="4" borderId="0" xfId="0" applyNumberFormat="1" applyFont="1" applyFill="1" applyAlignment="1">
      <alignment horizontal="center" vertical="center"/>
    </xf>
    <xf numFmtId="165" fontId="11" fillId="4" borderId="38" xfId="0" applyNumberFormat="1" applyFont="1" applyFill="1" applyBorder="1" applyAlignment="1">
      <alignment horizontal="center" vertical="center" wrapText="1"/>
    </xf>
    <xf numFmtId="165" fontId="11" fillId="4" borderId="50" xfId="0" applyNumberFormat="1" applyFont="1" applyFill="1" applyBorder="1" applyAlignment="1">
      <alignment horizontal="center" vertical="center" wrapText="1"/>
    </xf>
    <xf numFmtId="165" fontId="16" fillId="4" borderId="45" xfId="0" applyNumberFormat="1" applyFont="1" applyFill="1" applyBorder="1" applyAlignment="1">
      <alignment horizontal="center" vertical="center" wrapText="1"/>
    </xf>
    <xf numFmtId="49" fontId="16" fillId="4" borderId="0" xfId="0" applyNumberFormat="1" applyFont="1" applyFill="1" applyBorder="1" applyAlignment="1">
      <alignment horizontal="center" vertical="center"/>
    </xf>
    <xf numFmtId="49" fontId="0" fillId="4" borderId="0" xfId="0" applyNumberFormat="1" applyFill="1" applyBorder="1" applyAlignment="1">
      <alignment horizontal="center" vertical="center"/>
    </xf>
    <xf numFmtId="14" fontId="11" fillId="4" borderId="0" xfId="0" applyNumberFormat="1" applyFont="1" applyFill="1" applyBorder="1" applyAlignment="1">
      <alignment horizontal="left" vertical="center" wrapText="1"/>
    </xf>
    <xf numFmtId="0" fontId="11" fillId="4" borderId="0" xfId="0" applyFont="1" applyFill="1" applyBorder="1" applyAlignment="1">
      <alignment wrapText="1"/>
    </xf>
    <xf numFmtId="0" fontId="11" fillId="4" borderId="40" xfId="0" applyFont="1" applyFill="1" applyBorder="1" applyAlignment="1">
      <alignment horizontal="center" vertical="top" wrapText="1"/>
    </xf>
    <xf numFmtId="0" fontId="11" fillId="4" borderId="40" xfId="0" applyFont="1" applyFill="1" applyBorder="1" applyAlignment="1">
      <alignment horizontal="center" wrapText="1"/>
    </xf>
    <xf numFmtId="14" fontId="11" fillId="4" borderId="40" xfId="0" applyNumberFormat="1" applyFont="1" applyFill="1" applyBorder="1" applyAlignment="1">
      <alignment horizontal="center" wrapText="1"/>
    </xf>
    <xf numFmtId="14" fontId="11" fillId="4" borderId="40" xfId="0" applyNumberFormat="1" applyFont="1" applyFill="1" applyBorder="1" applyAlignment="1">
      <alignment horizontal="left" vertical="center" wrapText="1"/>
    </xf>
    <xf numFmtId="4" fontId="11" fillId="4" borderId="40" xfId="0" applyNumberFormat="1" applyFont="1" applyFill="1" applyBorder="1" applyAlignment="1">
      <alignment horizontal="center" wrapText="1"/>
    </xf>
    <xf numFmtId="4" fontId="30" fillId="4" borderId="40" xfId="0" applyNumberFormat="1" applyFont="1" applyFill="1" applyBorder="1" applyAlignment="1">
      <alignment horizontal="center" wrapText="1"/>
    </xf>
    <xf numFmtId="0" fontId="11" fillId="4" borderId="40" xfId="0" applyFont="1" applyFill="1" applyBorder="1" applyAlignment="1">
      <alignment wrapText="1"/>
    </xf>
    <xf numFmtId="49" fontId="11" fillId="4" borderId="40" xfId="0" applyNumberFormat="1" applyFont="1" applyFill="1" applyBorder="1" applyAlignment="1">
      <alignment horizontal="center" wrapText="1"/>
    </xf>
    <xf numFmtId="0" fontId="11" fillId="4" borderId="38" xfId="0" applyFont="1" applyFill="1" applyBorder="1" applyAlignment="1">
      <alignment horizontal="center" vertical="top" wrapText="1"/>
    </xf>
    <xf numFmtId="4" fontId="11" fillId="4" borderId="38" xfId="0" applyNumberFormat="1" applyFont="1" applyFill="1" applyBorder="1" applyAlignment="1">
      <alignment wrapText="1"/>
    </xf>
    <xf numFmtId="0" fontId="11" fillId="4" borderId="38" xfId="0" applyFont="1" applyFill="1" applyBorder="1" applyAlignment="1">
      <alignment wrapText="1"/>
    </xf>
    <xf numFmtId="0" fontId="11" fillId="4" borderId="17" xfId="0" applyFont="1" applyFill="1" applyBorder="1" applyAlignment="1">
      <alignment vertical="top" wrapText="1"/>
    </xf>
    <xf numFmtId="4" fontId="11" fillId="4" borderId="17" xfId="0" applyNumberFormat="1" applyFont="1" applyFill="1" applyBorder="1" applyAlignment="1">
      <alignment wrapText="1"/>
    </xf>
    <xf numFmtId="0" fontId="11" fillId="4" borderId="17" xfId="0" applyFont="1" applyFill="1" applyBorder="1" applyAlignment="1">
      <alignment wrapText="1"/>
    </xf>
    <xf numFmtId="0" fontId="11" fillId="4" borderId="25" xfId="0" applyFont="1" applyFill="1" applyBorder="1" applyAlignment="1">
      <alignment vertical="top" wrapText="1"/>
    </xf>
    <xf numFmtId="0" fontId="11" fillId="4" borderId="38" xfId="0" applyFont="1" applyFill="1" applyBorder="1" applyAlignment="1">
      <alignment horizontal="center" wrapText="1"/>
    </xf>
    <xf numFmtId="14" fontId="11" fillId="4" borderId="38" xfId="0" applyNumberFormat="1" applyFont="1" applyFill="1" applyBorder="1" applyAlignment="1">
      <alignment horizontal="center" wrapText="1"/>
    </xf>
    <xf numFmtId="14" fontId="11" fillId="4" borderId="38" xfId="0" applyNumberFormat="1" applyFont="1" applyFill="1" applyBorder="1" applyAlignment="1">
      <alignment horizontal="left" vertical="center" wrapText="1"/>
    </xf>
    <xf numFmtId="4" fontId="11" fillId="4" borderId="25" xfId="0" applyNumberFormat="1" applyFont="1" applyFill="1" applyBorder="1" applyAlignment="1">
      <alignment wrapText="1"/>
    </xf>
    <xf numFmtId="4" fontId="30" fillId="4" borderId="38" xfId="0" applyNumberFormat="1" applyFont="1" applyFill="1" applyBorder="1" applyAlignment="1">
      <alignment horizontal="center" wrapText="1"/>
    </xf>
    <xf numFmtId="0" fontId="11" fillId="4" borderId="25" xfId="0" applyFont="1" applyFill="1" applyBorder="1" applyAlignment="1">
      <alignment wrapText="1"/>
    </xf>
    <xf numFmtId="49" fontId="11" fillId="4" borderId="38" xfId="0" applyNumberFormat="1" applyFont="1" applyFill="1" applyBorder="1" applyAlignment="1">
      <alignment horizontal="center" wrapText="1"/>
    </xf>
    <xf numFmtId="0" fontId="19" fillId="4" borderId="17" xfId="0" applyFont="1" applyFill="1" applyBorder="1" applyAlignment="1">
      <alignment horizontal="center" vertical="top" wrapText="1"/>
    </xf>
    <xf numFmtId="0" fontId="11" fillId="4" borderId="17" xfId="0" applyFont="1" applyFill="1" applyBorder="1" applyAlignment="1">
      <alignment horizontal="justify" vertical="top" wrapText="1"/>
    </xf>
    <xf numFmtId="14" fontId="11" fillId="4" borderId="0" xfId="0" applyNumberFormat="1" applyFont="1" applyFill="1" applyBorder="1" applyAlignment="1">
      <alignment horizontal="center" wrapText="1"/>
    </xf>
    <xf numFmtId="4" fontId="11" fillId="4" borderId="17" xfId="0" applyNumberFormat="1" applyFont="1" applyFill="1" applyBorder="1" applyAlignment="1">
      <alignment horizontal="center" wrapText="1"/>
    </xf>
    <xf numFmtId="0" fontId="11" fillId="4" borderId="17" xfId="0" applyFont="1" applyFill="1" applyBorder="1" applyAlignment="1">
      <alignment horizontal="center" wrapText="1"/>
    </xf>
    <xf numFmtId="49" fontId="11" fillId="4" borderId="17" xfId="0" applyNumberFormat="1" applyFont="1" applyFill="1" applyBorder="1" applyAlignment="1">
      <alignment horizontal="center" wrapText="1"/>
    </xf>
    <xf numFmtId="0" fontId="11" fillId="4" borderId="17" xfId="0" applyFont="1" applyFill="1" applyBorder="1" applyAlignment="1">
      <alignment horizontal="center" vertical="top" wrapText="1"/>
    </xf>
    <xf numFmtId="4" fontId="11" fillId="4" borderId="17" xfId="0" applyNumberFormat="1" applyFont="1" applyFill="1" applyBorder="1" applyAlignment="1">
      <alignment horizontal="center"/>
    </xf>
    <xf numFmtId="2" fontId="11" fillId="4" borderId="17" xfId="0" quotePrefix="1" applyNumberFormat="1" applyFont="1" applyFill="1" applyBorder="1" applyAlignment="1">
      <alignment horizontal="center"/>
    </xf>
    <xf numFmtId="2" fontId="11" fillId="4" borderId="17" xfId="0" quotePrefix="1" applyNumberFormat="1" applyFont="1" applyFill="1" applyBorder="1" applyAlignment="1">
      <alignment horizontal="left" vertical="center"/>
    </xf>
    <xf numFmtId="0" fontId="11" fillId="4" borderId="17" xfId="0" quotePrefix="1" applyFont="1" applyFill="1" applyBorder="1" applyAlignment="1">
      <alignment horizontal="center" wrapText="1"/>
    </xf>
    <xf numFmtId="14" fontId="11" fillId="4" borderId="17" xfId="0" applyNumberFormat="1" applyFont="1" applyFill="1" applyBorder="1" applyAlignment="1">
      <alignment wrapText="1"/>
    </xf>
    <xf numFmtId="14" fontId="11" fillId="4" borderId="17" xfId="0" applyNumberFormat="1" applyFont="1" applyFill="1" applyBorder="1" applyAlignment="1">
      <alignment horizontal="left" vertical="center" wrapText="1"/>
    </xf>
    <xf numFmtId="0" fontId="2" fillId="4" borderId="0" xfId="0" applyFont="1" applyFill="1" applyAlignment="1">
      <alignment horizontal="center"/>
    </xf>
    <xf numFmtId="0" fontId="2" fillId="4" borderId="0" xfId="0" applyFont="1" applyFill="1" applyAlignment="1">
      <alignment horizontal="left" vertical="center"/>
    </xf>
    <xf numFmtId="0" fontId="16" fillId="4" borderId="37" xfId="0" applyFont="1" applyFill="1" applyBorder="1" applyAlignment="1">
      <alignment horizontal="justify" vertical="top" wrapText="1"/>
    </xf>
    <xf numFmtId="14" fontId="11" fillId="4" borderId="45" xfId="0" applyNumberFormat="1" applyFont="1" applyFill="1" applyBorder="1" applyAlignment="1">
      <alignment horizontal="center" wrapText="1"/>
    </xf>
    <xf numFmtId="14" fontId="11" fillId="4" borderId="45" xfId="0" applyNumberFormat="1" applyFont="1" applyFill="1" applyBorder="1" applyAlignment="1">
      <alignment horizontal="left" vertical="center" wrapText="1"/>
    </xf>
    <xf numFmtId="4" fontId="11" fillId="4" borderId="45" xfId="0" applyNumberFormat="1" applyFont="1" applyFill="1" applyBorder="1" applyAlignment="1">
      <alignment horizontal="center" wrapText="1"/>
    </xf>
    <xf numFmtId="0" fontId="11" fillId="4" borderId="45" xfId="0" applyFont="1" applyFill="1" applyBorder="1" applyAlignment="1">
      <alignment wrapText="1"/>
    </xf>
    <xf numFmtId="49" fontId="11" fillId="4" borderId="45" xfId="0" applyNumberFormat="1" applyFont="1" applyFill="1" applyBorder="1" applyAlignment="1">
      <alignment horizontal="center" wrapText="1"/>
    </xf>
    <xf numFmtId="4" fontId="16" fillId="4" borderId="17" xfId="0" applyNumberFormat="1" applyFont="1" applyFill="1" applyBorder="1" applyAlignment="1">
      <alignment horizontal="center" vertical="center" wrapText="1"/>
    </xf>
    <xf numFmtId="14" fontId="16" fillId="4" borderId="17" xfId="0" applyNumberFormat="1" applyFont="1" applyFill="1" applyBorder="1" applyAlignment="1">
      <alignment horizontal="left" vertical="center" wrapText="1"/>
    </xf>
    <xf numFmtId="4" fontId="11" fillId="4" borderId="17" xfId="0" applyNumberFormat="1" applyFont="1" applyFill="1" applyBorder="1" applyAlignment="1">
      <alignment horizontal="center" vertical="center" wrapText="1"/>
    </xf>
    <xf numFmtId="49" fontId="11" fillId="4" borderId="17" xfId="0" applyNumberFormat="1" applyFont="1" applyFill="1" applyBorder="1" applyAlignment="1">
      <alignment horizontal="center" vertical="center" wrapText="1"/>
    </xf>
    <xf numFmtId="14" fontId="9" fillId="4" borderId="17" xfId="0" applyNumberFormat="1" applyFont="1" applyFill="1" applyBorder="1" applyAlignment="1">
      <alignment horizontal="left" vertical="center" wrapText="1"/>
    </xf>
    <xf numFmtId="4" fontId="9" fillId="4" borderId="17" xfId="0" applyNumberFormat="1" applyFont="1" applyFill="1" applyBorder="1" applyAlignment="1">
      <alignment horizontal="center" vertical="center" wrapText="1"/>
    </xf>
    <xf numFmtId="0" fontId="11" fillId="4" borderId="17" xfId="0" applyFont="1" applyFill="1" applyBorder="1" applyAlignment="1">
      <alignment horizontal="center" vertical="center" wrapText="1"/>
    </xf>
    <xf numFmtId="49" fontId="3" fillId="13" borderId="55" xfId="0" applyNumberFormat="1" applyFont="1" applyFill="1" applyBorder="1" applyAlignment="1">
      <alignment horizontal="center" vertical="top" wrapText="1"/>
    </xf>
    <xf numFmtId="49" fontId="16" fillId="4" borderId="48" xfId="0" applyNumberFormat="1" applyFont="1" applyFill="1" applyBorder="1" applyAlignment="1">
      <alignment horizontal="center" vertical="center" wrapText="1"/>
    </xf>
    <xf numFmtId="49" fontId="16" fillId="4" borderId="55" xfId="0" applyNumberFormat="1" applyFont="1" applyFill="1" applyBorder="1" applyAlignment="1">
      <alignment horizontal="center" vertical="center" wrapText="1"/>
    </xf>
    <xf numFmtId="0" fontId="0" fillId="4" borderId="55" xfId="0" applyFill="1" applyBorder="1" applyAlignment="1">
      <alignment vertical="center"/>
    </xf>
    <xf numFmtId="0" fontId="0" fillId="4" borderId="65" xfId="0" applyFill="1" applyBorder="1" applyAlignment="1">
      <alignment vertical="center"/>
    </xf>
    <xf numFmtId="0" fontId="0" fillId="4" borderId="55" xfId="0" applyFont="1" applyFill="1" applyBorder="1" applyAlignment="1">
      <alignment vertical="center"/>
    </xf>
    <xf numFmtId="4" fontId="6" fillId="6" borderId="11" xfId="0" applyNumberFormat="1" applyFont="1" applyFill="1" applyBorder="1" applyAlignment="1">
      <alignment horizontal="center"/>
    </xf>
    <xf numFmtId="0" fontId="0" fillId="13" borderId="31" xfId="0" applyFill="1" applyBorder="1"/>
    <xf numFmtId="49" fontId="3" fillId="13" borderId="32" xfId="0" applyNumberFormat="1" applyFont="1" applyFill="1" applyBorder="1" applyAlignment="1">
      <alignment horizontal="center" vertical="top" wrapText="1"/>
    </xf>
    <xf numFmtId="0" fontId="0" fillId="13" borderId="18" xfId="0" applyFill="1" applyBorder="1"/>
    <xf numFmtId="0" fontId="0" fillId="4" borderId="18" xfId="0" applyFill="1" applyBorder="1"/>
    <xf numFmtId="4" fontId="5" fillId="4" borderId="34" xfId="0" applyNumberFormat="1" applyFont="1" applyFill="1" applyBorder="1" applyAlignment="1">
      <alignment horizontal="center" vertical="center"/>
    </xf>
    <xf numFmtId="14" fontId="16" fillId="4" borderId="34" xfId="0" applyNumberFormat="1" applyFont="1" applyFill="1" applyBorder="1" applyAlignment="1">
      <alignment horizontal="center" vertical="center" wrapText="1"/>
    </xf>
    <xf numFmtId="14" fontId="3" fillId="4" borderId="34" xfId="0" applyNumberFormat="1" applyFont="1" applyFill="1" applyBorder="1" applyAlignment="1">
      <alignment horizontal="center" vertical="center" wrapText="1"/>
    </xf>
    <xf numFmtId="4" fontId="24" fillId="4" borderId="34" xfId="0" applyNumberFormat="1" applyFont="1" applyFill="1" applyBorder="1" applyAlignment="1">
      <alignment horizontal="center" vertical="center"/>
    </xf>
    <xf numFmtId="49" fontId="16" fillId="4" borderId="34" xfId="0" applyNumberFormat="1" applyFont="1" applyFill="1" applyBorder="1" applyAlignment="1">
      <alignment horizontal="center" vertical="center" wrapText="1"/>
    </xf>
    <xf numFmtId="14" fontId="5" fillId="4" borderId="34" xfId="0" applyNumberFormat="1" applyFont="1" applyFill="1" applyBorder="1" applyAlignment="1">
      <alignment horizontal="center" vertical="center" wrapText="1"/>
    </xf>
    <xf numFmtId="0" fontId="25" fillId="4" borderId="18" xfId="0" applyFont="1" applyFill="1" applyBorder="1"/>
    <xf numFmtId="0" fontId="16" fillId="4" borderId="34" xfId="0" applyFont="1" applyFill="1" applyBorder="1" applyAlignment="1">
      <alignment horizontal="center" vertical="center" wrapText="1"/>
    </xf>
    <xf numFmtId="0" fontId="16" fillId="4" borderId="34" xfId="0" applyFont="1" applyFill="1" applyBorder="1" applyAlignment="1">
      <alignment horizontal="center" vertical="top" wrapText="1"/>
    </xf>
    <xf numFmtId="0" fontId="0" fillId="4" borderId="35" xfId="0" applyFill="1" applyBorder="1"/>
    <xf numFmtId="0" fontId="0" fillId="4" borderId="66" xfId="0" applyFont="1" applyFill="1" applyBorder="1" applyAlignment="1">
      <alignment vertical="center"/>
    </xf>
    <xf numFmtId="0" fontId="16" fillId="4" borderId="30" xfId="0" applyFont="1" applyFill="1" applyBorder="1" applyAlignment="1">
      <alignment horizontal="justify" vertical="top" wrapText="1"/>
    </xf>
    <xf numFmtId="4" fontId="3" fillId="4" borderId="30" xfId="0" applyNumberFormat="1" applyFont="1" applyFill="1" applyBorder="1" applyAlignment="1">
      <alignment horizontal="center" vertical="center" wrapText="1"/>
    </xf>
    <xf numFmtId="14" fontId="3" fillId="4" borderId="30" xfId="0" applyNumberFormat="1" applyFont="1" applyFill="1" applyBorder="1" applyAlignment="1">
      <alignment horizontal="center" vertical="center" wrapText="1"/>
    </xf>
    <xf numFmtId="0" fontId="16" fillId="4" borderId="30" xfId="0" applyFont="1" applyFill="1" applyBorder="1" applyAlignment="1">
      <alignment horizontal="center" vertical="center" wrapText="1"/>
    </xf>
    <xf numFmtId="0" fontId="3" fillId="4" borderId="30" xfId="0" applyFont="1" applyFill="1" applyBorder="1" applyAlignment="1">
      <alignment horizontal="center" vertical="center" wrapText="1"/>
    </xf>
    <xf numFmtId="0" fontId="3" fillId="4" borderId="67" xfId="0" applyFont="1" applyFill="1" applyBorder="1" applyAlignment="1">
      <alignment horizontal="center" vertical="center"/>
    </xf>
    <xf numFmtId="14" fontId="3" fillId="4" borderId="36" xfId="0" applyNumberFormat="1" applyFont="1" applyFill="1" applyBorder="1" applyAlignment="1">
      <alignment horizontal="center" vertical="center" wrapText="1"/>
    </xf>
    <xf numFmtId="4" fontId="9" fillId="4" borderId="37" xfId="0" applyNumberFormat="1" applyFont="1" applyFill="1" applyBorder="1" applyAlignment="1">
      <alignment vertical="center" wrapText="1"/>
    </xf>
    <xf numFmtId="0" fontId="3" fillId="4" borderId="0" xfId="0" applyFont="1" applyFill="1" applyAlignment="1">
      <alignment vertical="center"/>
    </xf>
    <xf numFmtId="49" fontId="3" fillId="8" borderId="38" xfId="0" applyNumberFormat="1" applyFont="1" applyFill="1" applyBorder="1" applyAlignment="1">
      <alignment horizontal="center" vertical="center" wrapText="1"/>
    </xf>
    <xf numFmtId="165" fontId="3" fillId="4" borderId="38" xfId="0" applyNumberFormat="1" applyFont="1" applyFill="1" applyBorder="1" applyAlignment="1">
      <alignment horizontal="center" vertical="center" wrapText="1"/>
    </xf>
    <xf numFmtId="165" fontId="3" fillId="4" borderId="50" xfId="0" applyNumberFormat="1" applyFont="1" applyFill="1" applyBorder="1" applyAlignment="1">
      <alignment horizontal="center" vertical="center" wrapText="1"/>
    </xf>
    <xf numFmtId="165" fontId="3" fillId="4" borderId="45" xfId="0" applyNumberFormat="1" applyFont="1" applyFill="1" applyBorder="1" applyAlignment="1">
      <alignment horizontal="center" vertical="center" wrapText="1"/>
    </xf>
    <xf numFmtId="49" fontId="3" fillId="4" borderId="38" xfId="0" applyNumberFormat="1" applyFont="1" applyFill="1" applyBorder="1" applyAlignment="1">
      <alignment horizontal="center" vertical="center" wrapText="1"/>
    </xf>
    <xf numFmtId="49" fontId="3" fillId="4" borderId="45" xfId="0" applyNumberFormat="1" applyFont="1" applyFill="1" applyBorder="1" applyAlignment="1">
      <alignment horizontal="center" vertical="center" wrapText="1"/>
    </xf>
    <xf numFmtId="49" fontId="3" fillId="4" borderId="40" xfId="0" applyNumberFormat="1" applyFont="1" applyFill="1" applyBorder="1" applyAlignment="1">
      <alignment horizontal="center" vertical="center" wrapText="1"/>
    </xf>
    <xf numFmtId="49" fontId="3" fillId="8" borderId="47" xfId="0" applyNumberFormat="1" applyFont="1" applyFill="1" applyBorder="1" applyAlignment="1">
      <alignment horizontal="center" vertical="center" wrapText="1"/>
    </xf>
    <xf numFmtId="49" fontId="3" fillId="4" borderId="47" xfId="0" applyNumberFormat="1" applyFont="1" applyFill="1" applyBorder="1" applyAlignment="1">
      <alignment horizontal="center" vertical="center" wrapText="1"/>
    </xf>
    <xf numFmtId="49" fontId="3" fillId="4" borderId="41" xfId="0" applyNumberFormat="1" applyFont="1" applyFill="1" applyBorder="1" applyAlignment="1">
      <alignment horizontal="center" vertical="center" wrapText="1"/>
    </xf>
    <xf numFmtId="49" fontId="3" fillId="4" borderId="25" xfId="0" applyNumberFormat="1" applyFont="1" applyFill="1" applyBorder="1" applyAlignment="1">
      <alignment horizontal="center" vertical="center" wrapText="1"/>
    </xf>
    <xf numFmtId="0" fontId="16" fillId="4" borderId="47" xfId="0" applyFont="1" applyFill="1" applyBorder="1" applyAlignment="1">
      <alignment horizontal="justify" vertical="top" wrapText="1"/>
    </xf>
    <xf numFmtId="49" fontId="3" fillId="4" borderId="54" xfId="0" applyNumberFormat="1" applyFont="1" applyFill="1" applyBorder="1" applyAlignment="1">
      <alignment horizontal="center" vertical="center" wrapText="1"/>
    </xf>
    <xf numFmtId="4" fontId="9" fillId="4" borderId="17" xfId="0" applyNumberFormat="1" applyFont="1" applyFill="1" applyBorder="1" applyAlignment="1">
      <alignment vertical="center" wrapText="1"/>
    </xf>
    <xf numFmtId="0" fontId="11" fillId="4" borderId="41" xfId="0" applyFont="1" applyFill="1" applyBorder="1" applyAlignment="1">
      <alignment horizontal="center" wrapText="1"/>
    </xf>
    <xf numFmtId="49" fontId="11" fillId="4" borderId="43" xfId="0" applyNumberFormat="1" applyFont="1" applyFill="1" applyBorder="1" applyAlignment="1">
      <alignment horizontal="center" wrapText="1"/>
    </xf>
    <xf numFmtId="14" fontId="11" fillId="4" borderId="47" xfId="0" applyNumberFormat="1" applyFont="1" applyFill="1" applyBorder="1" applyAlignment="1">
      <alignment horizontal="center" wrapText="1"/>
    </xf>
    <xf numFmtId="14" fontId="11" fillId="4" borderId="17" xfId="0" applyNumberFormat="1" applyFont="1" applyFill="1" applyBorder="1" applyAlignment="1">
      <alignment horizontal="center" wrapText="1"/>
    </xf>
    <xf numFmtId="14" fontId="16" fillId="4" borderId="0" xfId="0" applyNumberFormat="1" applyFont="1" applyFill="1" applyBorder="1" applyAlignment="1">
      <alignment horizontal="center" vertical="center" wrapText="1"/>
    </xf>
    <xf numFmtId="0" fontId="16" fillId="4" borderId="0" xfId="0" applyFont="1" applyFill="1" applyAlignment="1">
      <alignment horizontal="center" vertical="center"/>
    </xf>
    <xf numFmtId="0" fontId="2" fillId="4" borderId="0" xfId="0" applyFont="1" applyFill="1" applyAlignment="1">
      <alignment horizontal="center" vertical="center" wrapText="1"/>
    </xf>
    <xf numFmtId="0" fontId="11" fillId="4" borderId="45" xfId="0" applyFont="1" applyFill="1" applyBorder="1" applyAlignment="1">
      <alignment horizontal="center" vertical="center" wrapText="1"/>
    </xf>
    <xf numFmtId="0" fontId="31" fillId="4" borderId="40" xfId="0" applyFont="1" applyFill="1" applyBorder="1" applyAlignment="1">
      <alignment horizontal="center" vertical="center" wrapText="1"/>
    </xf>
    <xf numFmtId="0" fontId="11" fillId="4" borderId="38" xfId="0" applyFont="1" applyFill="1" applyBorder="1" applyAlignment="1">
      <alignment horizontal="center" vertical="center" wrapText="1"/>
    </xf>
    <xf numFmtId="0" fontId="11" fillId="4" borderId="0" xfId="0" applyFont="1" applyFill="1" applyBorder="1" applyAlignment="1">
      <alignment horizontal="center" vertical="center" wrapText="1"/>
    </xf>
    <xf numFmtId="0" fontId="0" fillId="4" borderId="0" xfId="0" applyFill="1" applyAlignment="1">
      <alignment horizontal="center" vertical="center"/>
    </xf>
    <xf numFmtId="0" fontId="2" fillId="4" borderId="0" xfId="0" applyFont="1" applyFill="1" applyAlignment="1">
      <alignment horizontal="center" vertical="center"/>
    </xf>
    <xf numFmtId="4" fontId="9" fillId="4" borderId="37" xfId="0" applyNumberFormat="1" applyFont="1" applyFill="1" applyBorder="1" applyAlignment="1">
      <alignment horizontal="center" vertical="center" wrapText="1"/>
    </xf>
    <xf numFmtId="4" fontId="22" fillId="0" borderId="17" xfId="0" applyNumberFormat="1" applyFont="1" applyBorder="1" applyAlignment="1">
      <alignment horizontal="center" vertical="center"/>
    </xf>
    <xf numFmtId="165" fontId="11" fillId="4" borderId="47" xfId="0" applyNumberFormat="1" applyFont="1" applyFill="1" applyBorder="1" applyAlignment="1">
      <alignment horizontal="center" vertical="center" wrapText="1"/>
    </xf>
    <xf numFmtId="165" fontId="11" fillId="4" borderId="68" xfId="0" applyNumberFormat="1" applyFont="1" applyFill="1" applyBorder="1" applyAlignment="1">
      <alignment horizontal="center" vertical="center" wrapText="1"/>
    </xf>
    <xf numFmtId="14" fontId="9" fillId="4" borderId="37" xfId="0" applyNumberFormat="1" applyFont="1" applyFill="1" applyBorder="1" applyAlignment="1">
      <alignment horizontal="left" vertical="center" wrapText="1"/>
    </xf>
    <xf numFmtId="0" fontId="8" fillId="0" borderId="4" xfId="0" applyFont="1" applyFill="1" applyBorder="1" applyAlignment="1">
      <alignment horizontal="left"/>
    </xf>
    <xf numFmtId="0" fontId="8" fillId="0" borderId="0" xfId="0" applyFont="1" applyFill="1" applyBorder="1" applyAlignment="1">
      <alignment horizontal="left"/>
    </xf>
    <xf numFmtId="0" fontId="8" fillId="4" borderId="0" xfId="0" applyFont="1" applyFill="1" applyBorder="1" applyAlignment="1">
      <alignment horizontal="center"/>
    </xf>
    <xf numFmtId="4" fontId="5" fillId="4" borderId="37" xfId="0" applyNumberFormat="1" applyFont="1" applyFill="1" applyBorder="1" applyAlignment="1">
      <alignment horizontal="center" vertical="center"/>
    </xf>
    <xf numFmtId="0" fontId="16" fillId="4" borderId="17" xfId="0" applyFont="1" applyFill="1" applyBorder="1"/>
    <xf numFmtId="0" fontId="0" fillId="4" borderId="17" xfId="0" applyFill="1" applyBorder="1"/>
    <xf numFmtId="0" fontId="0" fillId="4" borderId="17" xfId="0" applyFill="1" applyBorder="1" applyAlignment="1">
      <alignment vertical="center"/>
    </xf>
    <xf numFmtId="4" fontId="24" fillId="4" borderId="37" xfId="0" applyNumberFormat="1" applyFont="1" applyFill="1" applyBorder="1" applyAlignment="1">
      <alignment horizontal="center" vertical="center"/>
    </xf>
    <xf numFmtId="49" fontId="16" fillId="4" borderId="37" xfId="0" applyNumberFormat="1" applyFont="1" applyFill="1" applyBorder="1" applyAlignment="1">
      <alignment horizontal="center" vertical="center" wrapText="1"/>
    </xf>
    <xf numFmtId="0" fontId="16" fillId="4" borderId="37" xfId="0" applyFont="1" applyFill="1" applyBorder="1" applyAlignment="1">
      <alignment horizontal="center" vertical="center" wrapText="1"/>
    </xf>
    <xf numFmtId="14" fontId="3" fillId="4" borderId="67" xfId="0" applyNumberFormat="1" applyFont="1" applyFill="1" applyBorder="1" applyAlignment="1">
      <alignment horizontal="center" vertical="center" wrapText="1"/>
    </xf>
    <xf numFmtId="0" fontId="27" fillId="4" borderId="17" xfId="0" applyFont="1" applyFill="1" applyBorder="1"/>
    <xf numFmtId="44" fontId="3" fillId="4" borderId="30" xfId="3" applyFont="1" applyFill="1" applyBorder="1" applyAlignment="1">
      <alignment horizontal="center" vertical="center" wrapText="1"/>
    </xf>
    <xf numFmtId="0" fontId="0" fillId="4" borderId="17" xfId="0" applyFill="1" applyBorder="1" applyAlignment="1">
      <alignment wrapText="1"/>
    </xf>
    <xf numFmtId="0" fontId="16" fillId="4" borderId="17" xfId="0" applyFont="1" applyFill="1" applyBorder="1" applyAlignment="1">
      <alignment wrapText="1"/>
    </xf>
    <xf numFmtId="4" fontId="6" fillId="13" borderId="17" xfId="0" applyNumberFormat="1" applyFont="1" applyFill="1" applyBorder="1" applyAlignment="1">
      <alignment horizontal="center"/>
    </xf>
    <xf numFmtId="0" fontId="0" fillId="13" borderId="17" xfId="0" applyFill="1" applyBorder="1"/>
    <xf numFmtId="0" fontId="6" fillId="4" borderId="17" xfId="0" applyFont="1" applyFill="1" applyBorder="1" applyAlignment="1">
      <alignment wrapText="1"/>
    </xf>
    <xf numFmtId="0" fontId="0" fillId="3" borderId="18" xfId="0" applyFill="1" applyBorder="1"/>
    <xf numFmtId="49" fontId="16" fillId="3" borderId="48" xfId="0" applyNumberFormat="1" applyFont="1" applyFill="1" applyBorder="1" applyAlignment="1">
      <alignment horizontal="center" vertical="center" wrapText="1"/>
    </xf>
    <xf numFmtId="0" fontId="16" fillId="3" borderId="38" xfId="0" applyFont="1" applyFill="1" applyBorder="1" applyAlignment="1">
      <alignment horizontal="justify" vertical="top" wrapText="1"/>
    </xf>
    <xf numFmtId="2" fontId="3" fillId="3" borderId="25" xfId="0" applyNumberFormat="1" applyFont="1" applyFill="1" applyBorder="1" applyAlignment="1">
      <alignment horizontal="center" vertical="center" wrapText="1"/>
    </xf>
    <xf numFmtId="4" fontId="5" fillId="3" borderId="17" xfId="0" applyNumberFormat="1" applyFont="1" applyFill="1" applyBorder="1" applyAlignment="1">
      <alignment horizontal="center" vertical="center"/>
    </xf>
    <xf numFmtId="4" fontId="5" fillId="3" borderId="37" xfId="0" applyNumberFormat="1" applyFont="1" applyFill="1" applyBorder="1" applyAlignment="1">
      <alignment horizontal="center" vertical="center"/>
    </xf>
    <xf numFmtId="0" fontId="16" fillId="3" borderId="17" xfId="0" applyFont="1" applyFill="1" applyBorder="1"/>
    <xf numFmtId="4" fontId="0" fillId="3" borderId="0" xfId="0" applyNumberFormat="1" applyFill="1"/>
    <xf numFmtId="49" fontId="16" fillId="3" borderId="55" xfId="0" applyNumberFormat="1" applyFont="1" applyFill="1" applyBorder="1" applyAlignment="1">
      <alignment horizontal="center" vertical="center" wrapText="1"/>
    </xf>
    <xf numFmtId="49" fontId="16" fillId="3" borderId="47" xfId="0" applyNumberFormat="1" applyFont="1" applyFill="1" applyBorder="1" applyAlignment="1">
      <alignment horizontal="center" vertical="center" wrapText="1"/>
    </xf>
    <xf numFmtId="0" fontId="0" fillId="3" borderId="17" xfId="0" applyFill="1" applyBorder="1" applyAlignment="1">
      <alignment vertical="center"/>
    </xf>
    <xf numFmtId="0" fontId="11" fillId="3" borderId="17" xfId="0" applyFont="1" applyFill="1" applyBorder="1" applyAlignment="1">
      <alignment vertical="center"/>
    </xf>
    <xf numFmtId="0" fontId="16" fillId="3" borderId="17" xfId="0" applyFont="1" applyFill="1" applyBorder="1" applyAlignment="1">
      <alignment vertical="center"/>
    </xf>
    <xf numFmtId="14" fontId="16" fillId="3" borderId="37" xfId="0" applyNumberFormat="1" applyFont="1" applyFill="1" applyBorder="1" applyAlignment="1">
      <alignment horizontal="center" vertical="center" wrapText="1"/>
    </xf>
    <xf numFmtId="14" fontId="3" fillId="3" borderId="17" xfId="0" applyNumberFormat="1" applyFont="1" applyFill="1" applyBorder="1" applyAlignment="1">
      <alignment horizontal="center" vertical="center" wrapText="1"/>
    </xf>
    <xf numFmtId="0" fontId="16" fillId="3" borderId="17" xfId="0" applyFont="1" applyFill="1" applyBorder="1" applyAlignment="1">
      <alignment horizontal="center" vertical="center" wrapText="1"/>
    </xf>
    <xf numFmtId="14" fontId="3" fillId="3" borderId="37" xfId="0" applyNumberFormat="1" applyFont="1" applyFill="1" applyBorder="1" applyAlignment="1">
      <alignment horizontal="center" vertical="center" wrapText="1"/>
    </xf>
    <xf numFmtId="0" fontId="16" fillId="3" borderId="38" xfId="0" applyFont="1" applyFill="1" applyBorder="1" applyAlignment="1">
      <alignment horizontal="center" vertical="center" wrapText="1"/>
    </xf>
    <xf numFmtId="4" fontId="24" fillId="3" borderId="17" xfId="0" applyNumberFormat="1" applyFont="1" applyFill="1" applyBorder="1" applyAlignment="1">
      <alignment horizontal="center" vertical="center"/>
    </xf>
    <xf numFmtId="49" fontId="16" fillId="3" borderId="37" xfId="0" applyNumberFormat="1" applyFont="1" applyFill="1" applyBorder="1" applyAlignment="1">
      <alignment horizontal="center" vertical="center" wrapText="1"/>
    </xf>
    <xf numFmtId="4" fontId="24" fillId="3" borderId="37" xfId="0" applyNumberFormat="1" applyFont="1" applyFill="1" applyBorder="1" applyAlignment="1">
      <alignment horizontal="center" vertical="center"/>
    </xf>
    <xf numFmtId="0" fontId="16" fillId="3" borderId="17" xfId="0" applyFont="1" applyFill="1" applyBorder="1" applyAlignment="1">
      <alignment wrapText="1"/>
    </xf>
    <xf numFmtId="14" fontId="5" fillId="3" borderId="17" xfId="0" applyNumberFormat="1" applyFont="1" applyFill="1" applyBorder="1" applyAlignment="1">
      <alignment horizontal="center" vertical="center" wrapText="1"/>
    </xf>
    <xf numFmtId="14" fontId="5" fillId="3" borderId="37" xfId="0" applyNumberFormat="1" applyFont="1" applyFill="1" applyBorder="1" applyAlignment="1">
      <alignment horizontal="center" vertical="center" wrapText="1"/>
    </xf>
    <xf numFmtId="0" fontId="25" fillId="3" borderId="18" xfId="0" applyFont="1" applyFill="1" applyBorder="1"/>
    <xf numFmtId="0" fontId="0" fillId="3" borderId="55" xfId="0" applyFill="1" applyBorder="1" applyAlignment="1">
      <alignment vertical="center"/>
    </xf>
    <xf numFmtId="0" fontId="16" fillId="3" borderId="49" xfId="0" applyFont="1" applyFill="1" applyBorder="1" applyAlignment="1">
      <alignment horizontal="center" vertical="center" wrapText="1"/>
    </xf>
    <xf numFmtId="0" fontId="16" fillId="3" borderId="17" xfId="0" applyFont="1" applyFill="1" applyBorder="1" applyAlignment="1">
      <alignment horizontal="center" vertical="top" wrapText="1"/>
    </xf>
    <xf numFmtId="0" fontId="16" fillId="3" borderId="37" xfId="0" applyFont="1" applyFill="1" applyBorder="1" applyAlignment="1">
      <alignment horizontal="center" vertical="center" wrapText="1"/>
    </xf>
    <xf numFmtId="0" fontId="0" fillId="3" borderId="65" xfId="0" applyFill="1" applyBorder="1" applyAlignment="1">
      <alignment vertical="center"/>
    </xf>
    <xf numFmtId="0" fontId="6" fillId="3" borderId="17" xfId="0" applyFont="1" applyFill="1" applyBorder="1" applyAlignment="1">
      <alignment wrapText="1"/>
    </xf>
    <xf numFmtId="0" fontId="16" fillId="3" borderId="37" xfId="0" applyFont="1" applyFill="1" applyBorder="1" applyAlignment="1">
      <alignment horizontal="center" vertical="top" wrapText="1"/>
    </xf>
    <xf numFmtId="0" fontId="0" fillId="3" borderId="55" xfId="0" applyFont="1" applyFill="1" applyBorder="1" applyAlignment="1">
      <alignment vertical="center"/>
    </xf>
    <xf numFmtId="0" fontId="2" fillId="0" borderId="4" xfId="0" applyFont="1" applyFill="1" applyBorder="1" applyAlignment="1">
      <alignment horizontal="left"/>
    </xf>
    <xf numFmtId="4" fontId="4" fillId="4" borderId="17" xfId="0" applyNumberFormat="1" applyFont="1" applyFill="1" applyBorder="1" applyAlignment="1">
      <alignment horizontal="center" vertical="center" wrapText="1"/>
    </xf>
    <xf numFmtId="49" fontId="4" fillId="4" borderId="17" xfId="0" applyNumberFormat="1" applyFont="1" applyFill="1" applyBorder="1" applyAlignment="1">
      <alignment horizontal="center" vertical="center" wrapText="1"/>
    </xf>
    <xf numFmtId="2" fontId="4" fillId="4" borderId="17" xfId="0" applyNumberFormat="1" applyFont="1" applyFill="1" applyBorder="1" applyAlignment="1">
      <alignment horizontal="center" vertical="center" wrapText="1"/>
    </xf>
    <xf numFmtId="2" fontId="3" fillId="4" borderId="17" xfId="0" applyNumberFormat="1" applyFont="1" applyFill="1" applyBorder="1" applyAlignment="1">
      <alignment horizontal="center" vertical="center" wrapText="1"/>
    </xf>
    <xf numFmtId="0" fontId="3" fillId="4" borderId="17" xfId="0" applyFont="1" applyFill="1" applyBorder="1" applyAlignment="1">
      <alignment horizontal="justify" vertical="center" wrapText="1"/>
    </xf>
    <xf numFmtId="0" fontId="8" fillId="0" borderId="0" xfId="0" applyFont="1" applyFill="1" applyBorder="1" applyAlignment="1">
      <alignment horizontal="left"/>
    </xf>
    <xf numFmtId="0" fontId="8" fillId="4" borderId="0" xfId="0" applyFont="1" applyFill="1" applyBorder="1" applyAlignment="1">
      <alignment horizontal="center"/>
    </xf>
    <xf numFmtId="0" fontId="4" fillId="0" borderId="17" xfId="0" applyFont="1" applyFill="1" applyBorder="1" applyAlignment="1">
      <alignment horizontal="left"/>
    </xf>
    <xf numFmtId="0" fontId="3" fillId="4" borderId="17" xfId="0" applyFont="1" applyFill="1" applyBorder="1" applyAlignment="1">
      <alignment horizontal="justify" vertical="top" wrapText="1"/>
    </xf>
    <xf numFmtId="0" fontId="3" fillId="4" borderId="17" xfId="0" applyFont="1" applyFill="1" applyBorder="1" applyAlignment="1">
      <alignment vertical="center"/>
    </xf>
    <xf numFmtId="0" fontId="3" fillId="4" borderId="17" xfId="0" applyFont="1" applyFill="1" applyBorder="1"/>
    <xf numFmtId="4" fontId="3" fillId="4" borderId="17" xfId="0" applyNumberFormat="1" applyFont="1" applyFill="1" applyBorder="1" applyAlignment="1">
      <alignment vertical="center"/>
    </xf>
    <xf numFmtId="4" fontId="3" fillId="0" borderId="17" xfId="0" applyNumberFormat="1" applyFont="1" applyFill="1" applyBorder="1" applyAlignment="1">
      <alignment vertical="center"/>
    </xf>
    <xf numFmtId="49" fontId="3" fillId="4" borderId="17" xfId="0" applyNumberFormat="1" applyFont="1" applyFill="1" applyBorder="1" applyAlignment="1">
      <alignment horizontal="center" vertical="center"/>
    </xf>
    <xf numFmtId="4" fontId="3" fillId="4" borderId="17" xfId="0" applyNumberFormat="1" applyFont="1" applyFill="1" applyBorder="1"/>
    <xf numFmtId="4" fontId="3" fillId="3" borderId="17" xfId="0" applyNumberFormat="1" applyFont="1" applyFill="1" applyBorder="1" applyAlignment="1">
      <alignment vertical="center"/>
    </xf>
    <xf numFmtId="4" fontId="15" fillId="3" borderId="17" xfId="0" applyNumberFormat="1" applyFont="1" applyFill="1" applyBorder="1" applyAlignment="1">
      <alignment horizontal="center" vertical="center"/>
    </xf>
    <xf numFmtId="4" fontId="15" fillId="4" borderId="17" xfId="0" applyNumberFormat="1" applyFont="1" applyFill="1" applyBorder="1" applyAlignment="1">
      <alignment horizontal="center" vertical="center"/>
    </xf>
    <xf numFmtId="14" fontId="3" fillId="4" borderId="17" xfId="0" applyNumberFormat="1" applyFont="1" applyFill="1" applyBorder="1" applyAlignment="1">
      <alignment horizontal="center" vertical="center"/>
    </xf>
    <xf numFmtId="0" fontId="3" fillId="4" borderId="17" xfId="0" applyNumberFormat="1" applyFont="1" applyFill="1" applyBorder="1" applyAlignment="1">
      <alignment horizontal="center" vertical="center"/>
    </xf>
    <xf numFmtId="166" fontId="3" fillId="4" borderId="17" xfId="0" applyNumberFormat="1" applyFont="1" applyFill="1" applyBorder="1" applyAlignment="1">
      <alignment horizontal="center" vertical="center" wrapText="1"/>
    </xf>
    <xf numFmtId="0" fontId="3" fillId="0" borderId="17" xfId="0" applyFont="1" applyFill="1" applyBorder="1"/>
    <xf numFmtId="14" fontId="4" fillId="4" borderId="17" xfId="0" applyNumberFormat="1" applyFont="1" applyFill="1" applyBorder="1" applyAlignment="1">
      <alignment horizontal="center" vertical="center" wrapText="1"/>
    </xf>
    <xf numFmtId="4" fontId="3" fillId="15" borderId="17" xfId="0" applyNumberFormat="1" applyFont="1" applyFill="1" applyBorder="1"/>
    <xf numFmtId="0" fontId="3" fillId="3" borderId="17" xfId="0" applyFont="1" applyFill="1" applyBorder="1" applyAlignment="1">
      <alignment horizontal="justify" vertical="top" wrapText="1"/>
    </xf>
    <xf numFmtId="0" fontId="3" fillId="3" borderId="17" xfId="0" applyFont="1" applyFill="1" applyBorder="1"/>
    <xf numFmtId="0" fontId="13" fillId="13" borderId="71" xfId="0" applyFont="1" applyFill="1" applyBorder="1"/>
    <xf numFmtId="49" fontId="13" fillId="13" borderId="72" xfId="0" applyNumberFormat="1" applyFont="1" applyFill="1" applyBorder="1" applyAlignment="1">
      <alignment horizontal="center" vertical="center" wrapText="1"/>
    </xf>
    <xf numFmtId="4" fontId="12" fillId="13" borderId="54" xfId="0" applyNumberFormat="1" applyFont="1" applyFill="1" applyBorder="1" applyAlignment="1">
      <alignment horizontal="center"/>
    </xf>
    <xf numFmtId="0" fontId="13" fillId="13" borderId="54" xfId="0" applyFont="1" applyFill="1" applyBorder="1"/>
    <xf numFmtId="0" fontId="13" fillId="13" borderId="18" xfId="0" applyFont="1" applyFill="1" applyBorder="1"/>
    <xf numFmtId="49" fontId="13" fillId="13" borderId="37" xfId="0" applyNumberFormat="1" applyFont="1" applyFill="1" applyBorder="1" applyAlignment="1">
      <alignment horizontal="center" vertical="center" wrapText="1"/>
    </xf>
    <xf numFmtId="0" fontId="13" fillId="13" borderId="17" xfId="0" applyFont="1" applyFill="1" applyBorder="1"/>
    <xf numFmtId="0" fontId="13" fillId="4" borderId="0" xfId="0" applyFont="1" applyFill="1"/>
    <xf numFmtId="4" fontId="15" fillId="0" borderId="17" xfId="0" applyNumberFormat="1" applyFont="1" applyFill="1" applyBorder="1" applyAlignment="1">
      <alignment horizontal="center" vertical="center"/>
    </xf>
    <xf numFmtId="49" fontId="13" fillId="4" borderId="17" xfId="0" applyNumberFormat="1" applyFont="1" applyFill="1" applyBorder="1" applyAlignment="1">
      <alignment horizontal="center" vertical="center" wrapText="1"/>
    </xf>
    <xf numFmtId="0" fontId="13" fillId="4" borderId="17" xfId="0" applyFont="1" applyFill="1" applyBorder="1"/>
    <xf numFmtId="14" fontId="3" fillId="4" borderId="17" xfId="0" applyNumberFormat="1" applyFont="1" applyFill="1" applyBorder="1" applyAlignment="1">
      <alignment horizontal="left" vertical="center" wrapText="1"/>
    </xf>
    <xf numFmtId="49" fontId="3" fillId="4" borderId="17" xfId="0" applyNumberFormat="1" applyFont="1" applyFill="1" applyBorder="1" applyAlignment="1">
      <alignment horizontal="left" vertical="center" wrapText="1"/>
    </xf>
    <xf numFmtId="4" fontId="3" fillId="4" borderId="17" xfId="0" applyNumberFormat="1" applyFont="1" applyFill="1" applyBorder="1" applyAlignment="1">
      <alignment horizontal="left" vertical="center"/>
    </xf>
    <xf numFmtId="0" fontId="0" fillId="0" borderId="0" xfId="0" applyAlignment="1">
      <alignment horizontal="left"/>
    </xf>
    <xf numFmtId="49" fontId="0" fillId="0" borderId="0" xfId="0" applyNumberFormat="1" applyAlignment="1">
      <alignment horizontal="center"/>
    </xf>
    <xf numFmtId="49" fontId="16" fillId="0" borderId="17" xfId="0" applyNumberFormat="1" applyFont="1" applyBorder="1" applyAlignment="1">
      <alignment horizontal="center"/>
    </xf>
    <xf numFmtId="49" fontId="34" fillId="0" borderId="0" xfId="0" applyNumberFormat="1" applyFont="1" applyBorder="1" applyAlignment="1">
      <alignment horizontal="center"/>
    </xf>
    <xf numFmtId="49" fontId="16" fillId="0" borderId="54" xfId="0" applyNumberFormat="1" applyFont="1" applyBorder="1" applyAlignment="1">
      <alignment horizontal="center"/>
    </xf>
    <xf numFmtId="49" fontId="3" fillId="4" borderId="54" xfId="0" applyNumberFormat="1" applyFont="1" applyFill="1" applyBorder="1" applyAlignment="1">
      <alignment horizontal="left" vertical="center" wrapText="1"/>
    </xf>
    <xf numFmtId="49" fontId="34" fillId="0" borderId="73" xfId="0" applyNumberFormat="1" applyFont="1" applyBorder="1" applyAlignment="1">
      <alignment horizontal="center"/>
    </xf>
    <xf numFmtId="49" fontId="34" fillId="0" borderId="56" xfId="0" applyNumberFormat="1" applyFont="1" applyBorder="1" applyAlignment="1">
      <alignment horizontal="center"/>
    </xf>
    <xf numFmtId="49" fontId="34" fillId="0" borderId="65" xfId="0" applyNumberFormat="1" applyFont="1" applyBorder="1" applyAlignment="1">
      <alignment horizontal="center"/>
    </xf>
    <xf numFmtId="49" fontId="34" fillId="0" borderId="17" xfId="0" applyNumberFormat="1" applyFont="1" applyBorder="1" applyAlignment="1">
      <alignment horizontal="center"/>
    </xf>
    <xf numFmtId="49" fontId="34" fillId="0" borderId="25" xfId="0" applyNumberFormat="1" applyFont="1" applyBorder="1" applyAlignment="1">
      <alignment horizontal="center"/>
    </xf>
    <xf numFmtId="49" fontId="3" fillId="3" borderId="17" xfId="0" applyNumberFormat="1" applyFont="1" applyFill="1" applyBorder="1" applyAlignment="1">
      <alignment horizontal="center" vertical="center"/>
    </xf>
    <xf numFmtId="14" fontId="3" fillId="3" borderId="17" xfId="0" applyNumberFormat="1" applyFont="1" applyFill="1" applyBorder="1" applyAlignment="1">
      <alignment horizontal="center" vertical="center"/>
    </xf>
    <xf numFmtId="0" fontId="3" fillId="3" borderId="17" xfId="0" applyNumberFormat="1" applyFont="1" applyFill="1" applyBorder="1" applyAlignment="1">
      <alignment horizontal="center" vertical="center"/>
    </xf>
    <xf numFmtId="49" fontId="13" fillId="3" borderId="17" xfId="0" applyNumberFormat="1" applyFont="1" applyFill="1" applyBorder="1" applyAlignment="1">
      <alignment horizontal="center" vertical="center" wrapText="1"/>
    </xf>
    <xf numFmtId="0" fontId="8" fillId="0" borderId="0" xfId="0" applyFont="1" applyFill="1" applyBorder="1" applyAlignment="1">
      <alignment horizontal="left"/>
    </xf>
    <xf numFmtId="0" fontId="8" fillId="4" borderId="0" xfId="0" applyFont="1" applyFill="1" applyBorder="1" applyAlignment="1">
      <alignment horizontal="center"/>
    </xf>
    <xf numFmtId="0" fontId="0" fillId="0" borderId="0" xfId="0" applyAlignment="1">
      <alignment horizontal="center"/>
    </xf>
    <xf numFmtId="4" fontId="15" fillId="4" borderId="17" xfId="0" applyNumberFormat="1" applyFont="1" applyFill="1" applyBorder="1" applyAlignment="1">
      <alignment horizontal="left" vertical="center"/>
    </xf>
    <xf numFmtId="0" fontId="4" fillId="4" borderId="17" xfId="0" applyFont="1" applyFill="1" applyBorder="1" applyAlignment="1">
      <alignment horizontal="center" vertical="center" wrapText="1"/>
    </xf>
    <xf numFmtId="4" fontId="19" fillId="3" borderId="17" xfId="0" applyNumberFormat="1" applyFont="1" applyFill="1" applyBorder="1" applyAlignment="1">
      <alignment horizontal="center" vertical="center" wrapText="1"/>
    </xf>
    <xf numFmtId="0" fontId="13" fillId="4" borderId="71" xfId="0" applyFont="1" applyFill="1" applyBorder="1"/>
    <xf numFmtId="49" fontId="13" fillId="4" borderId="72" xfId="0" applyNumberFormat="1" applyFont="1" applyFill="1" applyBorder="1" applyAlignment="1">
      <alignment horizontal="center" vertical="center" wrapText="1"/>
    </xf>
    <xf numFmtId="4" fontId="12" fillId="4" borderId="54" xfId="0" applyNumberFormat="1" applyFont="1" applyFill="1" applyBorder="1" applyAlignment="1">
      <alignment horizontal="center"/>
    </xf>
    <xf numFmtId="0" fontId="13" fillId="4" borderId="54" xfId="0" applyFont="1" applyFill="1" applyBorder="1"/>
    <xf numFmtId="0" fontId="13" fillId="4" borderId="18" xfId="0" applyFont="1" applyFill="1" applyBorder="1"/>
    <xf numFmtId="49" fontId="13" fillId="4" borderId="37" xfId="0" applyNumberFormat="1" applyFont="1" applyFill="1" applyBorder="1" applyAlignment="1">
      <alignment horizontal="center" vertical="center" wrapText="1"/>
    </xf>
    <xf numFmtId="4" fontId="12" fillId="4" borderId="17" xfId="0" applyNumberFormat="1" applyFont="1" applyFill="1" applyBorder="1" applyAlignment="1">
      <alignment horizontal="center"/>
    </xf>
    <xf numFmtId="0" fontId="3" fillId="3" borderId="17" xfId="0" applyFont="1" applyFill="1" applyBorder="1" applyAlignment="1">
      <alignment horizontal="justify" vertical="center" wrapText="1"/>
    </xf>
    <xf numFmtId="49" fontId="11" fillId="3" borderId="25" xfId="0" applyNumberFormat="1" applyFont="1" applyFill="1" applyBorder="1" applyAlignment="1">
      <alignment horizontal="center" vertical="center" wrapText="1"/>
    </xf>
    <xf numFmtId="0" fontId="13" fillId="3" borderId="17" xfId="0" applyFont="1" applyFill="1" applyBorder="1"/>
    <xf numFmtId="49" fontId="3" fillId="16" borderId="17" xfId="0" applyNumberFormat="1" applyFont="1" applyFill="1" applyBorder="1" applyAlignment="1">
      <alignment horizontal="center" vertical="center" wrapText="1"/>
    </xf>
    <xf numFmtId="0" fontId="3" fillId="16" borderId="17" xfId="0" applyFont="1" applyFill="1" applyBorder="1" applyAlignment="1">
      <alignment horizontal="justify" vertical="top" wrapText="1"/>
    </xf>
    <xf numFmtId="0" fontId="3" fillId="16" borderId="17" xfId="0" applyFont="1" applyFill="1" applyBorder="1" applyAlignment="1">
      <alignment horizontal="center" vertical="center" wrapText="1"/>
    </xf>
    <xf numFmtId="0" fontId="3" fillId="16" borderId="17" xfId="0" applyFont="1" applyFill="1" applyBorder="1" applyAlignment="1">
      <alignment horizontal="center" vertical="center"/>
    </xf>
    <xf numFmtId="4" fontId="3" fillId="16" borderId="17" xfId="0" applyNumberFormat="1" applyFont="1" applyFill="1" applyBorder="1" applyAlignment="1">
      <alignment horizontal="center" vertical="center" wrapText="1"/>
    </xf>
    <xf numFmtId="14" fontId="3" fillId="16" borderId="17" xfId="0" applyNumberFormat="1" applyFont="1" applyFill="1" applyBorder="1" applyAlignment="1">
      <alignment horizontal="center" vertical="center" wrapText="1"/>
    </xf>
    <xf numFmtId="49" fontId="3" fillId="16" borderId="17" xfId="0" applyNumberFormat="1" applyFont="1" applyFill="1" applyBorder="1" applyAlignment="1">
      <alignment horizontal="center" vertical="center"/>
    </xf>
    <xf numFmtId="4" fontId="3" fillId="16" borderId="17" xfId="0" applyNumberFormat="1" applyFont="1" applyFill="1" applyBorder="1" applyAlignment="1">
      <alignment horizontal="center" vertical="center"/>
    </xf>
    <xf numFmtId="14" fontId="3" fillId="16" borderId="17" xfId="0" applyNumberFormat="1" applyFont="1" applyFill="1" applyBorder="1" applyAlignment="1">
      <alignment horizontal="center" vertical="center"/>
    </xf>
    <xf numFmtId="0" fontId="3" fillId="16" borderId="17" xfId="0" applyNumberFormat="1" applyFont="1" applyFill="1" applyBorder="1" applyAlignment="1">
      <alignment horizontal="center" vertical="center"/>
    </xf>
    <xf numFmtId="2" fontId="3" fillId="16" borderId="17" xfId="0" applyNumberFormat="1" applyFont="1" applyFill="1" applyBorder="1" applyAlignment="1">
      <alignment horizontal="center" vertical="center" wrapText="1"/>
    </xf>
    <xf numFmtId="0" fontId="0" fillId="16" borderId="0" xfId="0" applyFill="1"/>
    <xf numFmtId="0" fontId="16" fillId="16" borderId="0" xfId="0" applyFont="1" applyFill="1"/>
    <xf numFmtId="49" fontId="3" fillId="17" borderId="17" xfId="0" applyNumberFormat="1" applyFont="1" applyFill="1" applyBorder="1" applyAlignment="1">
      <alignment horizontal="center" vertical="center" wrapText="1"/>
    </xf>
    <xf numFmtId="0" fontId="3" fillId="17" borderId="17" xfId="0" applyFont="1" applyFill="1" applyBorder="1" applyAlignment="1">
      <alignment horizontal="justify" vertical="top" wrapText="1"/>
    </xf>
    <xf numFmtId="0" fontId="3" fillId="17" borderId="17" xfId="0" applyFont="1" applyFill="1" applyBorder="1" applyAlignment="1">
      <alignment horizontal="center" vertical="center" wrapText="1"/>
    </xf>
    <xf numFmtId="0" fontId="3" fillId="17" borderId="17" xfId="0" applyFont="1" applyFill="1" applyBorder="1" applyAlignment="1">
      <alignment horizontal="center" vertical="center"/>
    </xf>
    <xf numFmtId="4" fontId="3" fillId="17" borderId="17" xfId="0" applyNumberFormat="1" applyFont="1" applyFill="1" applyBorder="1" applyAlignment="1">
      <alignment horizontal="center" vertical="center" wrapText="1"/>
    </xf>
    <xf numFmtId="14" fontId="3" fillId="17" borderId="17" xfId="0" applyNumberFormat="1" applyFont="1" applyFill="1" applyBorder="1" applyAlignment="1">
      <alignment horizontal="center" vertical="center" wrapText="1"/>
    </xf>
    <xf numFmtId="49" fontId="3" fillId="17" borderId="17" xfId="0" applyNumberFormat="1" applyFont="1" applyFill="1" applyBorder="1" applyAlignment="1">
      <alignment horizontal="center" vertical="center"/>
    </xf>
    <xf numFmtId="4" fontId="3" fillId="17" borderId="17" xfId="0" applyNumberFormat="1" applyFont="1" applyFill="1" applyBorder="1" applyAlignment="1">
      <alignment horizontal="center" vertical="center"/>
    </xf>
    <xf numFmtId="14" fontId="3" fillId="17" borderId="17" xfId="0" applyNumberFormat="1" applyFont="1" applyFill="1" applyBorder="1" applyAlignment="1">
      <alignment horizontal="center" vertical="center"/>
    </xf>
    <xf numFmtId="0" fontId="3" fillId="17" borderId="17" xfId="0" applyNumberFormat="1" applyFont="1" applyFill="1" applyBorder="1" applyAlignment="1">
      <alignment horizontal="center" vertical="center"/>
    </xf>
    <xf numFmtId="2" fontId="3" fillId="17" borderId="17" xfId="0" applyNumberFormat="1" applyFont="1" applyFill="1" applyBorder="1" applyAlignment="1">
      <alignment horizontal="center" vertical="center" wrapText="1"/>
    </xf>
    <xf numFmtId="0" fontId="0" fillId="17" borderId="0" xfId="0" applyFill="1"/>
    <xf numFmtId="0" fontId="16" fillId="17" borderId="0" xfId="0" applyFont="1" applyFill="1"/>
    <xf numFmtId="4" fontId="3" fillId="18" borderId="17" xfId="0" applyNumberFormat="1" applyFont="1" applyFill="1" applyBorder="1" applyAlignment="1">
      <alignment horizontal="center" vertical="center"/>
    </xf>
    <xf numFmtId="0" fontId="13" fillId="0" borderId="17" xfId="0" applyFont="1" applyFill="1" applyBorder="1"/>
    <xf numFmtId="0" fontId="3" fillId="0" borderId="17" xfId="0" applyFont="1" applyFill="1" applyBorder="1" applyAlignment="1">
      <alignment horizontal="justify" vertical="top" wrapText="1"/>
    </xf>
    <xf numFmtId="0" fontId="16" fillId="0" borderId="0" xfId="0" applyFont="1" applyFill="1"/>
    <xf numFmtId="4" fontId="4" fillId="0" borderId="17" xfId="0" applyNumberFormat="1" applyFont="1" applyFill="1" applyBorder="1" applyAlignment="1">
      <alignment horizontal="center" vertical="center"/>
    </xf>
    <xf numFmtId="49" fontId="13" fillId="0" borderId="17" xfId="0" applyNumberFormat="1" applyFont="1" applyFill="1" applyBorder="1" applyAlignment="1">
      <alignment horizontal="center" vertical="center" wrapText="1"/>
    </xf>
    <xf numFmtId="14" fontId="3" fillId="0" borderId="17" xfId="0" applyNumberFormat="1" applyFont="1" applyFill="1" applyBorder="1" applyAlignment="1">
      <alignment horizontal="center" vertical="center" wrapText="1"/>
    </xf>
    <xf numFmtId="49" fontId="3" fillId="0" borderId="17" xfId="0" applyNumberFormat="1" applyFont="1" applyFill="1" applyBorder="1" applyAlignment="1">
      <alignment horizontal="center" vertical="center"/>
    </xf>
    <xf numFmtId="0" fontId="3" fillId="0" borderId="17" xfId="0" applyNumberFormat="1" applyFont="1" applyFill="1" applyBorder="1" applyAlignment="1">
      <alignment horizontal="center" vertical="center"/>
    </xf>
    <xf numFmtId="4" fontId="11" fillId="0" borderId="17" xfId="0" applyNumberFormat="1" applyFont="1" applyFill="1" applyBorder="1" applyAlignment="1">
      <alignment horizontal="center" vertical="center" wrapText="1"/>
    </xf>
    <xf numFmtId="4" fontId="19" fillId="0" borderId="17" xfId="0" applyNumberFormat="1" applyFont="1" applyFill="1" applyBorder="1" applyAlignment="1">
      <alignment horizontal="center" vertical="center" wrapText="1"/>
    </xf>
    <xf numFmtId="2" fontId="4" fillId="0" borderId="17" xfId="0" applyNumberFormat="1" applyFont="1" applyFill="1" applyBorder="1" applyAlignment="1">
      <alignment horizontal="center" vertical="center" wrapText="1"/>
    </xf>
    <xf numFmtId="4" fontId="36" fillId="0" borderId="17" xfId="0" applyNumberFormat="1" applyFont="1" applyFill="1" applyBorder="1" applyAlignment="1">
      <alignment horizontal="center" vertical="center"/>
    </xf>
    <xf numFmtId="49" fontId="4" fillId="0" borderId="17" xfId="0" applyNumberFormat="1" applyFont="1" applyFill="1" applyBorder="1" applyAlignment="1">
      <alignment horizontal="center" vertical="center" wrapText="1"/>
    </xf>
    <xf numFmtId="0" fontId="4" fillId="0" borderId="17" xfId="0" applyFont="1" applyFill="1" applyBorder="1" applyAlignment="1">
      <alignment horizontal="center" vertical="center" wrapText="1"/>
    </xf>
    <xf numFmtId="4" fontId="4" fillId="0" borderId="17" xfId="0" applyNumberFormat="1" applyFont="1" applyFill="1" applyBorder="1" applyAlignment="1">
      <alignment horizontal="center" vertical="center" wrapText="1"/>
    </xf>
    <xf numFmtId="0" fontId="4" fillId="0" borderId="17" xfId="0" applyFont="1" applyFill="1" applyBorder="1" applyAlignment="1">
      <alignment horizontal="center" vertical="center"/>
    </xf>
    <xf numFmtId="0" fontId="4" fillId="4" borderId="17" xfId="0" applyFont="1" applyFill="1" applyBorder="1" applyAlignment="1">
      <alignment horizontal="center" vertical="center" wrapText="1"/>
    </xf>
    <xf numFmtId="49" fontId="13" fillId="4" borderId="17" xfId="0" applyNumberFormat="1" applyFont="1" applyFill="1" applyBorder="1" applyAlignment="1">
      <alignment horizontal="center" vertical="center" wrapText="1"/>
    </xf>
    <xf numFmtId="49" fontId="13" fillId="4" borderId="37" xfId="0" applyNumberFormat="1" applyFont="1" applyFill="1" applyBorder="1" applyAlignment="1">
      <alignment horizontal="center" vertical="center" wrapText="1"/>
    </xf>
    <xf numFmtId="4" fontId="16" fillId="4" borderId="0" xfId="0" applyNumberFormat="1" applyFont="1" applyFill="1"/>
    <xf numFmtId="2" fontId="4" fillId="6" borderId="17" xfId="0" applyNumberFormat="1" applyFont="1" applyFill="1" applyBorder="1" applyAlignment="1">
      <alignment horizontal="center" vertical="center" wrapText="1"/>
    </xf>
    <xf numFmtId="49" fontId="13" fillId="0" borderId="37" xfId="0" applyNumberFormat="1" applyFont="1" applyFill="1" applyBorder="1" applyAlignment="1">
      <alignment horizontal="center" vertical="center" wrapText="1"/>
    </xf>
    <xf numFmtId="49" fontId="13" fillId="0" borderId="54" xfId="0" applyNumberFormat="1" applyFont="1" applyFill="1" applyBorder="1" applyAlignment="1">
      <alignment horizontal="center" vertical="center" wrapText="1"/>
    </xf>
    <xf numFmtId="49" fontId="13" fillId="0" borderId="72" xfId="0" applyNumberFormat="1" applyFont="1" applyFill="1" applyBorder="1" applyAlignment="1">
      <alignment horizontal="center" vertical="center" wrapText="1"/>
    </xf>
    <xf numFmtId="4" fontId="12" fillId="0" borderId="54" xfId="0" applyNumberFormat="1" applyFont="1" applyFill="1" applyBorder="1" applyAlignment="1">
      <alignment horizontal="center"/>
    </xf>
    <xf numFmtId="0" fontId="13" fillId="0" borderId="54" xfId="0" applyFont="1" applyFill="1" applyBorder="1"/>
    <xf numFmtId="4" fontId="12" fillId="3" borderId="17" xfId="0" applyNumberFormat="1" applyFont="1" applyFill="1" applyBorder="1" applyAlignment="1">
      <alignment horizontal="center"/>
    </xf>
    <xf numFmtId="4" fontId="8" fillId="3" borderId="17" xfId="0" applyNumberFormat="1" applyFont="1" applyFill="1" applyBorder="1" applyAlignment="1">
      <alignment horizontal="center"/>
    </xf>
    <xf numFmtId="0" fontId="3" fillId="0" borderId="17" xfId="0" applyFont="1" applyFill="1" applyBorder="1" applyAlignment="1">
      <alignment horizontal="justify" vertical="center" wrapText="1"/>
    </xf>
    <xf numFmtId="14" fontId="4" fillId="0" borderId="17" xfId="0" applyNumberFormat="1" applyFont="1" applyFill="1" applyBorder="1" applyAlignment="1">
      <alignment horizontal="center" vertical="center" wrapText="1"/>
    </xf>
    <xf numFmtId="49" fontId="11" fillId="0" borderId="25" xfId="0" applyNumberFormat="1" applyFont="1" applyFill="1" applyBorder="1" applyAlignment="1">
      <alignment horizontal="center" vertical="center" wrapText="1"/>
    </xf>
    <xf numFmtId="14" fontId="3" fillId="0" borderId="17" xfId="0" applyNumberFormat="1" applyFont="1" applyFill="1" applyBorder="1" applyAlignment="1">
      <alignment horizontal="center" vertical="center"/>
    </xf>
    <xf numFmtId="49" fontId="13" fillId="3" borderId="37" xfId="0" applyNumberFormat="1" applyFont="1" applyFill="1" applyBorder="1" applyAlignment="1">
      <alignment horizontal="center" vertical="center" wrapText="1"/>
    </xf>
    <xf numFmtId="166" fontId="3" fillId="0" borderId="17" xfId="0" applyNumberFormat="1" applyFont="1" applyFill="1" applyBorder="1" applyAlignment="1">
      <alignment horizontal="center" vertical="center" wrapText="1"/>
    </xf>
    <xf numFmtId="4" fontId="15" fillId="0" borderId="17" xfId="0" applyNumberFormat="1" applyFont="1" applyFill="1" applyBorder="1" applyAlignment="1">
      <alignment horizontal="center" vertical="center" wrapText="1"/>
    </xf>
    <xf numFmtId="0" fontId="2" fillId="0" borderId="0" xfId="0" applyFont="1" applyFill="1"/>
    <xf numFmtId="0" fontId="12" fillId="0" borderId="54" xfId="0" applyFont="1" applyFill="1" applyBorder="1"/>
    <xf numFmtId="0" fontId="12" fillId="3" borderId="17" xfId="0" applyFont="1" applyFill="1" applyBorder="1"/>
    <xf numFmtId="0" fontId="4" fillId="4" borderId="17" xfId="0" applyFont="1" applyFill="1" applyBorder="1" applyAlignment="1">
      <alignment horizontal="center" vertical="center"/>
    </xf>
    <xf numFmtId="0" fontId="12" fillId="4" borderId="17" xfId="0" applyFont="1" applyFill="1" applyBorder="1"/>
    <xf numFmtId="2" fontId="4" fillId="16" borderId="17" xfId="0" applyNumberFormat="1" applyFont="1" applyFill="1" applyBorder="1" applyAlignment="1">
      <alignment horizontal="center" vertical="center" wrapText="1"/>
    </xf>
    <xf numFmtId="2" fontId="4" fillId="17" borderId="17" xfId="0" applyNumberFormat="1" applyFont="1" applyFill="1" applyBorder="1" applyAlignment="1">
      <alignment horizontal="center" vertical="center" wrapText="1"/>
    </xf>
    <xf numFmtId="0" fontId="12" fillId="0" borderId="17" xfId="0" applyFont="1" applyFill="1" applyBorder="1"/>
    <xf numFmtId="49" fontId="4" fillId="0" borderId="17" xfId="0" applyNumberFormat="1" applyFont="1" applyFill="1" applyBorder="1" applyAlignment="1">
      <alignment horizontal="center" vertical="center"/>
    </xf>
    <xf numFmtId="0" fontId="4" fillId="0" borderId="17" xfId="0" applyFont="1" applyFill="1" applyBorder="1" applyAlignment="1">
      <alignment vertical="center"/>
    </xf>
    <xf numFmtId="49" fontId="12" fillId="0" borderId="54" xfId="0" applyNumberFormat="1" applyFont="1" applyFill="1" applyBorder="1" applyAlignment="1">
      <alignment horizontal="center" vertical="center" wrapText="1"/>
    </xf>
    <xf numFmtId="0" fontId="4" fillId="16" borderId="17" xfId="0" applyFont="1" applyFill="1" applyBorder="1" applyAlignment="1">
      <alignment horizontal="center" vertical="center" wrapText="1"/>
    </xf>
    <xf numFmtId="0" fontId="4" fillId="17" borderId="17" xfId="0" applyFont="1" applyFill="1" applyBorder="1" applyAlignment="1">
      <alignment horizontal="center" vertical="center" wrapText="1"/>
    </xf>
    <xf numFmtId="49" fontId="12" fillId="0" borderId="17" xfId="0" applyNumberFormat="1" applyFont="1" applyFill="1" applyBorder="1" applyAlignment="1">
      <alignment horizontal="center" vertical="center" wrapText="1"/>
    </xf>
    <xf numFmtId="0" fontId="2" fillId="4" borderId="0" xfId="0" applyFont="1" applyFill="1"/>
    <xf numFmtId="0" fontId="4" fillId="0" borderId="17" xfId="0" applyNumberFormat="1" applyFont="1" applyFill="1" applyBorder="1" applyAlignment="1">
      <alignment horizontal="center" vertical="center" wrapText="1"/>
    </xf>
    <xf numFmtId="0" fontId="4" fillId="4" borderId="17" xfId="0" applyNumberFormat="1" applyFont="1" applyFill="1" applyBorder="1" applyAlignment="1">
      <alignment horizontal="center" vertical="center" wrapText="1"/>
    </xf>
    <xf numFmtId="49" fontId="4" fillId="16" borderId="17" xfId="0" applyNumberFormat="1" applyFont="1" applyFill="1" applyBorder="1" applyAlignment="1">
      <alignment horizontal="center" vertical="center" wrapText="1"/>
    </xf>
    <xf numFmtId="49" fontId="4" fillId="17" borderId="17" xfId="0" applyNumberFormat="1" applyFont="1" applyFill="1" applyBorder="1" applyAlignment="1">
      <alignment horizontal="center" vertical="center" wrapText="1"/>
    </xf>
    <xf numFmtId="0" fontId="4" fillId="4" borderId="17" xfId="0" applyFont="1" applyFill="1" applyBorder="1" applyAlignment="1">
      <alignment vertical="center"/>
    </xf>
    <xf numFmtId="0" fontId="2" fillId="0" borderId="75" xfId="0" applyFont="1" applyFill="1" applyBorder="1" applyAlignment="1">
      <alignment horizontal="left"/>
    </xf>
    <xf numFmtId="0" fontId="4" fillId="0" borderId="25" xfId="0" applyFont="1" applyFill="1" applyBorder="1" applyAlignment="1">
      <alignment horizontal="center" vertical="center" wrapText="1"/>
    </xf>
    <xf numFmtId="0" fontId="3" fillId="0" borderId="25" xfId="0" applyFont="1" applyFill="1" applyBorder="1" applyAlignment="1">
      <alignment horizontal="justify" vertical="top" wrapText="1"/>
    </xf>
    <xf numFmtId="0" fontId="3" fillId="0" borderId="25" xfId="0" applyFont="1" applyFill="1" applyBorder="1" applyAlignment="1">
      <alignment horizontal="center" vertical="center" wrapText="1"/>
    </xf>
    <xf numFmtId="0" fontId="3" fillId="0" borderId="25" xfId="0" applyFont="1" applyFill="1" applyBorder="1" applyAlignment="1">
      <alignment horizontal="center" vertical="center"/>
    </xf>
    <xf numFmtId="49" fontId="3" fillId="0" borderId="25" xfId="0" applyNumberFormat="1" applyFont="1" applyFill="1" applyBorder="1" applyAlignment="1">
      <alignment horizontal="center" vertical="center" wrapText="1"/>
    </xf>
    <xf numFmtId="4" fontId="4" fillId="0" borderId="25" xfId="0" applyNumberFormat="1" applyFont="1" applyFill="1" applyBorder="1" applyAlignment="1">
      <alignment horizontal="center" vertical="center" wrapText="1"/>
    </xf>
    <xf numFmtId="49" fontId="4" fillId="0" borderId="25" xfId="0" applyNumberFormat="1" applyFont="1" applyFill="1" applyBorder="1" applyAlignment="1">
      <alignment horizontal="center" vertical="center" wrapText="1"/>
    </xf>
    <xf numFmtId="49" fontId="13" fillId="0" borderId="32" xfId="0" applyNumberFormat="1" applyFont="1" applyFill="1" applyBorder="1" applyAlignment="1">
      <alignment horizontal="center" vertical="center" wrapText="1"/>
    </xf>
    <xf numFmtId="49" fontId="12" fillId="0" borderId="32" xfId="0" applyNumberFormat="1" applyFont="1" applyFill="1" applyBorder="1" applyAlignment="1">
      <alignment horizontal="center" vertical="center" wrapText="1"/>
    </xf>
    <xf numFmtId="49" fontId="13" fillId="0" borderId="70" xfId="0" applyNumberFormat="1" applyFont="1" applyFill="1" applyBorder="1" applyAlignment="1">
      <alignment horizontal="center" vertical="center" wrapText="1"/>
    </xf>
    <xf numFmtId="4" fontId="12" fillId="0" borderId="32" xfId="0" applyNumberFormat="1" applyFont="1" applyFill="1" applyBorder="1" applyAlignment="1">
      <alignment horizontal="center"/>
    </xf>
    <xf numFmtId="0" fontId="13" fillId="0" borderId="32" xfId="0" applyFont="1" applyFill="1" applyBorder="1"/>
    <xf numFmtId="0" fontId="12" fillId="0" borderId="32" xfId="0" applyFont="1" applyFill="1" applyBorder="1"/>
    <xf numFmtId="0" fontId="4" fillId="0" borderId="75" xfId="0" applyFont="1" applyFill="1" applyBorder="1" applyAlignment="1">
      <alignment horizontal="left"/>
    </xf>
    <xf numFmtId="0" fontId="8" fillId="4" borderId="75" xfId="0" applyFont="1" applyFill="1" applyBorder="1" applyAlignment="1">
      <alignment horizontal="center"/>
    </xf>
    <xf numFmtId="4" fontId="0" fillId="0" borderId="75" xfId="0" applyNumberFormat="1" applyFill="1" applyBorder="1"/>
    <xf numFmtId="0" fontId="0" fillId="0" borderId="75" xfId="0" applyFill="1" applyBorder="1"/>
    <xf numFmtId="0" fontId="2" fillId="0" borderId="75" xfId="0" applyFont="1" applyFill="1" applyBorder="1"/>
    <xf numFmtId="49" fontId="13" fillId="0" borderId="37" xfId="0" applyNumberFormat="1" applyFont="1" applyFill="1" applyBorder="1" applyAlignment="1">
      <alignment vertical="center" wrapText="1"/>
    </xf>
    <xf numFmtId="49" fontId="13" fillId="0" borderId="76" xfId="0" applyNumberFormat="1" applyFont="1" applyFill="1" applyBorder="1" applyAlignment="1">
      <alignment vertical="center" wrapText="1"/>
    </xf>
    <xf numFmtId="49" fontId="13" fillId="0" borderId="55" xfId="0" applyNumberFormat="1" applyFont="1" applyFill="1" applyBorder="1" applyAlignment="1">
      <alignment vertical="center" wrapText="1"/>
    </xf>
    <xf numFmtId="0" fontId="8" fillId="0" borderId="75" xfId="0" applyFont="1" applyFill="1" applyBorder="1" applyAlignment="1">
      <alignment horizontal="center"/>
    </xf>
    <xf numFmtId="4" fontId="12" fillId="0" borderId="17" xfId="0" applyNumberFormat="1" applyFont="1" applyFill="1" applyBorder="1" applyAlignment="1">
      <alignment horizontal="center"/>
    </xf>
    <xf numFmtId="0" fontId="13" fillId="0" borderId="0" xfId="0" applyFont="1" applyFill="1"/>
    <xf numFmtId="4" fontId="8" fillId="0" borderId="17" xfId="0" applyNumberFormat="1" applyFont="1" applyFill="1" applyBorder="1" applyAlignment="1">
      <alignment horizontal="center"/>
    </xf>
    <xf numFmtId="0" fontId="13" fillId="0" borderId="37" xfId="0" applyNumberFormat="1" applyFont="1" applyFill="1" applyBorder="1" applyAlignment="1">
      <alignment horizontal="center" vertical="center" wrapText="1"/>
    </xf>
    <xf numFmtId="0" fontId="0" fillId="0" borderId="75" xfId="0" applyNumberFormat="1" applyFill="1" applyBorder="1"/>
    <xf numFmtId="0" fontId="13" fillId="0" borderId="72" xfId="0" applyNumberFormat="1" applyFont="1" applyFill="1" applyBorder="1" applyAlignment="1">
      <alignment horizontal="center" vertical="center" wrapText="1"/>
    </xf>
    <xf numFmtId="0" fontId="13" fillId="0" borderId="17" xfId="0" applyNumberFormat="1" applyFont="1" applyFill="1" applyBorder="1" applyAlignment="1">
      <alignment horizontal="center" vertical="center" wrapText="1"/>
    </xf>
    <xf numFmtId="0" fontId="3" fillId="0" borderId="17" xfId="0" applyNumberFormat="1" applyFont="1" applyFill="1" applyBorder="1" applyAlignment="1">
      <alignment horizontal="center" vertical="center" wrapText="1"/>
    </xf>
    <xf numFmtId="0" fontId="13" fillId="0" borderId="70" xfId="0" applyNumberFormat="1" applyFont="1" applyFill="1" applyBorder="1" applyAlignment="1">
      <alignment horizontal="center" vertical="center" wrapText="1"/>
    </xf>
    <xf numFmtId="0" fontId="0" fillId="0" borderId="0" xfId="0" applyNumberFormat="1" applyFill="1"/>
    <xf numFmtId="49" fontId="0" fillId="0" borderId="0" xfId="0" applyNumberFormat="1" applyFill="1" applyAlignment="1">
      <alignment horizontal="center" vertical="center"/>
    </xf>
    <xf numFmtId="49" fontId="2" fillId="0" borderId="0" xfId="0" applyNumberFormat="1" applyFont="1" applyFill="1" applyAlignment="1">
      <alignment horizontal="center" vertical="center"/>
    </xf>
    <xf numFmtId="49" fontId="13" fillId="0" borderId="0" xfId="0" applyNumberFormat="1" applyFont="1" applyFill="1" applyAlignment="1">
      <alignment horizontal="center" vertical="center"/>
    </xf>
    <xf numFmtId="49" fontId="0" fillId="3" borderId="0" xfId="0" applyNumberFormat="1" applyFill="1" applyAlignment="1">
      <alignment horizontal="center" vertical="center"/>
    </xf>
    <xf numFmtId="49" fontId="16" fillId="3" borderId="0" xfId="0" applyNumberFormat="1" applyFont="1" applyFill="1" applyAlignment="1">
      <alignment horizontal="center" vertical="center"/>
    </xf>
    <xf numFmtId="49" fontId="13" fillId="0" borderId="76" xfId="0" applyNumberFormat="1" applyFont="1" applyFill="1" applyBorder="1" applyAlignment="1">
      <alignment horizontal="center" vertical="center" wrapText="1"/>
    </xf>
    <xf numFmtId="4" fontId="0" fillId="0" borderId="0" xfId="0" applyNumberFormat="1" applyFill="1" applyAlignment="1">
      <alignment horizontal="center"/>
    </xf>
    <xf numFmtId="4" fontId="2" fillId="0" borderId="54" xfId="0" applyNumberFormat="1" applyFont="1" applyFill="1" applyBorder="1" applyAlignment="1">
      <alignment horizontal="center"/>
    </xf>
    <xf numFmtId="4" fontId="2" fillId="0" borderId="17" xfId="0" applyNumberFormat="1" applyFont="1" applyFill="1" applyBorder="1" applyAlignment="1">
      <alignment horizontal="center"/>
    </xf>
    <xf numFmtId="0" fontId="16" fillId="0" borderId="17" xfId="0" applyFont="1" applyFill="1" applyBorder="1"/>
    <xf numFmtId="0" fontId="16" fillId="0" borderId="54" xfId="0" applyFont="1" applyFill="1" applyBorder="1"/>
    <xf numFmtId="0" fontId="4" fillId="0" borderId="17" xfId="0" applyFont="1" applyFill="1" applyBorder="1" applyAlignment="1">
      <alignment horizontal="center" vertical="center" wrapText="1"/>
    </xf>
    <xf numFmtId="4" fontId="4" fillId="0" borderId="17" xfId="0" applyNumberFormat="1" applyFont="1" applyFill="1" applyBorder="1" applyAlignment="1">
      <alignment horizontal="center" vertical="center" wrapText="1"/>
    </xf>
    <xf numFmtId="0" fontId="4" fillId="0" borderId="17" xfId="0" applyFont="1" applyFill="1" applyBorder="1" applyAlignment="1">
      <alignment horizontal="center" vertical="center"/>
    </xf>
    <xf numFmtId="4" fontId="3" fillId="0" borderId="17" xfId="0" applyNumberFormat="1" applyFont="1" applyFill="1" applyBorder="1" applyAlignment="1">
      <alignment horizontal="center"/>
    </xf>
    <xf numFmtId="49" fontId="13" fillId="0" borderId="54" xfId="0" applyNumberFormat="1" applyFont="1" applyFill="1" applyBorder="1" applyAlignment="1">
      <alignment horizontal="center" vertical="center" wrapText="1"/>
    </xf>
    <xf numFmtId="49" fontId="13" fillId="0" borderId="72" xfId="0" applyNumberFormat="1" applyFont="1" applyFill="1" applyBorder="1" applyAlignment="1">
      <alignment horizontal="center" vertical="center" wrapText="1"/>
    </xf>
    <xf numFmtId="49" fontId="13" fillId="0" borderId="17" xfId="0" applyNumberFormat="1" applyFont="1" applyFill="1" applyBorder="1" applyAlignment="1">
      <alignment horizontal="center" vertical="center" wrapText="1"/>
    </xf>
    <xf numFmtId="49" fontId="13" fillId="0" borderId="37" xfId="0" applyNumberFormat="1" applyFont="1" applyFill="1" applyBorder="1" applyAlignment="1">
      <alignment horizontal="center" vertical="center" wrapText="1"/>
    </xf>
    <xf numFmtId="0" fontId="4" fillId="0" borderId="17" xfId="0" applyNumberFormat="1"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8" fillId="0" borderId="0" xfId="0" applyFont="1" applyFill="1" applyBorder="1" applyAlignment="1">
      <alignment horizontal="left"/>
    </xf>
    <xf numFmtId="0" fontId="8" fillId="0" borderId="4" xfId="0" applyFont="1" applyFill="1" applyBorder="1" applyAlignment="1">
      <alignment horizontal="left"/>
    </xf>
    <xf numFmtId="0" fontId="12" fillId="0" borderId="0" xfId="0" applyFont="1" applyFill="1" applyBorder="1" applyAlignment="1">
      <alignment horizontal="center"/>
    </xf>
    <xf numFmtId="0" fontId="13" fillId="0" borderId="0" xfId="0" applyFont="1" applyFill="1" applyBorder="1"/>
    <xf numFmtId="0" fontId="7" fillId="0" borderId="0" xfId="0" applyFont="1" applyFill="1" applyBorder="1" applyAlignment="1">
      <alignment horizontal="center"/>
    </xf>
    <xf numFmtId="0" fontId="10" fillId="0" borderId="0" xfId="0" applyFont="1" applyFill="1" applyBorder="1" applyAlignment="1">
      <alignment horizontal="center"/>
    </xf>
    <xf numFmtId="0" fontId="6" fillId="0" borderId="12" xfId="0" applyFont="1" applyFill="1" applyBorder="1" applyAlignment="1">
      <alignment horizontal="center"/>
    </xf>
    <xf numFmtId="0" fontId="6" fillId="0" borderId="13" xfId="0" applyFont="1" applyFill="1" applyBorder="1" applyAlignment="1">
      <alignment horizontal="center"/>
    </xf>
    <xf numFmtId="0" fontId="6" fillId="8" borderId="15" xfId="0" applyFont="1" applyFill="1" applyBorder="1" applyAlignment="1">
      <alignment horizontal="center"/>
    </xf>
    <xf numFmtId="0" fontId="6" fillId="8" borderId="13" xfId="0" applyFont="1" applyFill="1" applyBorder="1" applyAlignment="1">
      <alignment horizontal="center"/>
    </xf>
    <xf numFmtId="0" fontId="6" fillId="8" borderId="14" xfId="0" applyFont="1" applyFill="1" applyBorder="1" applyAlignment="1">
      <alignment horizontal="center"/>
    </xf>
    <xf numFmtId="49" fontId="18" fillId="14" borderId="20" xfId="0" applyNumberFormat="1" applyFont="1" applyFill="1" applyBorder="1" applyAlignment="1">
      <alignment horizontal="center" vertical="center" wrapText="1"/>
    </xf>
    <xf numFmtId="49" fontId="18" fillId="14" borderId="28" xfId="0" applyNumberFormat="1" applyFont="1" applyFill="1" applyBorder="1" applyAlignment="1">
      <alignment horizontal="center" vertical="center" wrapText="1"/>
    </xf>
    <xf numFmtId="49" fontId="13" fillId="14" borderId="22" xfId="0" applyNumberFormat="1" applyFont="1" applyFill="1" applyBorder="1" applyAlignment="1">
      <alignment horizontal="center" vertical="top" wrapText="1"/>
    </xf>
    <xf numFmtId="49" fontId="13" fillId="14" borderId="27" xfId="0" applyNumberFormat="1" applyFont="1" applyFill="1" applyBorder="1" applyAlignment="1">
      <alignment horizontal="center" vertical="top" wrapText="1"/>
    </xf>
    <xf numFmtId="0" fontId="6" fillId="4" borderId="15" xfId="0" applyFont="1" applyFill="1" applyBorder="1" applyAlignment="1">
      <alignment horizontal="center"/>
    </xf>
    <xf numFmtId="0" fontId="6" fillId="4" borderId="13" xfId="0" applyFont="1" applyFill="1" applyBorder="1" applyAlignment="1">
      <alignment horizontal="center"/>
    </xf>
    <xf numFmtId="0" fontId="6" fillId="4" borderId="14" xfId="0" applyFont="1" applyFill="1" applyBorder="1" applyAlignment="1">
      <alignment horizontal="center"/>
    </xf>
    <xf numFmtId="0" fontId="6" fillId="4" borderId="10"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6" fillId="4" borderId="6" xfId="0" applyFont="1" applyFill="1" applyBorder="1" applyAlignment="1">
      <alignment horizontal="center" vertical="center" wrapText="1"/>
    </xf>
    <xf numFmtId="4" fontId="6" fillId="0" borderId="2" xfId="0" applyNumberFormat="1" applyFont="1" applyFill="1" applyBorder="1" applyAlignment="1">
      <alignment horizontal="center" vertical="center" wrapText="1"/>
    </xf>
    <xf numFmtId="4" fontId="6" fillId="0" borderId="1" xfId="0" applyNumberFormat="1" applyFont="1" applyFill="1" applyBorder="1" applyAlignment="1">
      <alignment horizontal="center" vertical="center" wrapText="1"/>
    </xf>
    <xf numFmtId="4" fontId="6" fillId="0" borderId="23" xfId="0" applyNumberFormat="1" applyFont="1" applyFill="1" applyBorder="1" applyAlignment="1">
      <alignment horizontal="center" vertical="center" wrapText="1"/>
    </xf>
    <xf numFmtId="0" fontId="2" fillId="0" borderId="15" xfId="0" applyFont="1" applyFill="1" applyBorder="1"/>
    <xf numFmtId="0" fontId="2" fillId="0" borderId="3" xfId="0" applyFont="1" applyFill="1" applyBorder="1"/>
    <xf numFmtId="0" fontId="4" fillId="0" borderId="10" xfId="0" applyFont="1" applyFill="1" applyBorder="1" applyAlignment="1">
      <alignment horizontal="center" vertical="top" wrapText="1"/>
    </xf>
    <xf numFmtId="0" fontId="4" fillId="0" borderId="11" xfId="0" applyFont="1" applyFill="1" applyBorder="1" applyAlignment="1">
      <alignment horizontal="center" vertical="top" wrapText="1"/>
    </xf>
    <xf numFmtId="0" fontId="4" fillId="0" borderId="6" xfId="0" applyFont="1" applyFill="1" applyBorder="1" applyAlignment="1">
      <alignment horizontal="center" vertical="top" wrapText="1"/>
    </xf>
    <xf numFmtId="0" fontId="6" fillId="0" borderId="14" xfId="0" applyFont="1" applyFill="1" applyBorder="1" applyAlignment="1">
      <alignment horizontal="center"/>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10" xfId="0" applyFont="1" applyFill="1" applyBorder="1" applyAlignment="1">
      <alignment horizontal="center" vertical="top" wrapText="1"/>
    </xf>
    <xf numFmtId="0" fontId="6" fillId="0" borderId="11" xfId="0" applyFont="1" applyFill="1" applyBorder="1" applyAlignment="1">
      <alignment horizontal="center" vertical="top" wrapText="1"/>
    </xf>
    <xf numFmtId="0" fontId="6" fillId="0" borderId="6" xfId="0" applyFont="1" applyFill="1" applyBorder="1" applyAlignment="1">
      <alignment horizontal="center" vertical="top" wrapText="1"/>
    </xf>
    <xf numFmtId="49" fontId="18" fillId="13" borderId="17" xfId="0" applyNumberFormat="1" applyFont="1" applyFill="1" applyBorder="1" applyAlignment="1">
      <alignment horizontal="center" vertical="center" wrapText="1"/>
    </xf>
    <xf numFmtId="49" fontId="18" fillId="13" borderId="34" xfId="0" applyNumberFormat="1" applyFont="1" applyFill="1" applyBorder="1" applyAlignment="1">
      <alignment horizontal="center" vertical="center" wrapText="1"/>
    </xf>
    <xf numFmtId="49" fontId="18" fillId="13" borderId="32" xfId="0" applyNumberFormat="1" applyFont="1" applyFill="1" applyBorder="1" applyAlignment="1">
      <alignment horizontal="center" vertical="center" wrapText="1"/>
    </xf>
    <xf numFmtId="49" fontId="18" fillId="13" borderId="33" xfId="0" applyNumberFormat="1" applyFont="1" applyFill="1" applyBorder="1" applyAlignment="1">
      <alignment horizontal="center" vertical="center" wrapText="1"/>
    </xf>
    <xf numFmtId="49" fontId="18" fillId="3" borderId="20" xfId="0" applyNumberFormat="1" applyFont="1" applyFill="1" applyBorder="1" applyAlignment="1">
      <alignment horizontal="center" vertical="center" wrapText="1"/>
    </xf>
    <xf numFmtId="49" fontId="18" fillId="3" borderId="28" xfId="0" applyNumberFormat="1" applyFont="1" applyFill="1" applyBorder="1" applyAlignment="1">
      <alignment horizontal="center" vertical="center" wrapText="1"/>
    </xf>
    <xf numFmtId="49" fontId="18" fillId="4" borderId="4" xfId="0" applyNumberFormat="1" applyFont="1" applyFill="1" applyBorder="1" applyAlignment="1">
      <alignment horizontal="center" vertical="center" wrapText="1"/>
    </xf>
    <xf numFmtId="49" fontId="18" fillId="4" borderId="0" xfId="0" applyNumberFormat="1" applyFont="1" applyFill="1" applyBorder="1" applyAlignment="1">
      <alignment horizontal="center" vertical="center" wrapText="1"/>
    </xf>
    <xf numFmtId="49" fontId="18" fillId="4" borderId="46" xfId="0" applyNumberFormat="1" applyFont="1" applyFill="1" applyBorder="1" applyAlignment="1">
      <alignment horizontal="center" vertical="center" wrapText="1"/>
    </xf>
    <xf numFmtId="49" fontId="18" fillId="9" borderId="41" xfId="0" applyNumberFormat="1" applyFont="1" applyFill="1" applyBorder="1" applyAlignment="1">
      <alignment horizontal="center" vertical="top" wrapText="1"/>
    </xf>
    <xf numFmtId="49" fontId="18" fillId="9" borderId="42" xfId="0" applyNumberFormat="1" applyFont="1" applyFill="1" applyBorder="1" applyAlignment="1">
      <alignment horizontal="center" vertical="top" wrapText="1"/>
    </xf>
    <xf numFmtId="49" fontId="18" fillId="9" borderId="43" xfId="0" applyNumberFormat="1" applyFont="1" applyFill="1" applyBorder="1" applyAlignment="1">
      <alignment horizontal="center" vertical="top" wrapText="1"/>
    </xf>
    <xf numFmtId="49" fontId="11" fillId="4" borderId="38" xfId="0" applyNumberFormat="1" applyFont="1" applyFill="1" applyBorder="1" applyAlignment="1">
      <alignment horizontal="center" vertical="center" wrapText="1"/>
    </xf>
    <xf numFmtId="49" fontId="11" fillId="4" borderId="50" xfId="0" applyNumberFormat="1" applyFont="1" applyFill="1" applyBorder="1" applyAlignment="1">
      <alignment horizontal="center" vertical="center" wrapText="1"/>
    </xf>
    <xf numFmtId="49" fontId="11" fillId="4" borderId="45" xfId="0" applyNumberFormat="1" applyFont="1" applyFill="1" applyBorder="1" applyAlignment="1">
      <alignment horizontal="center" vertical="center" wrapText="1"/>
    </xf>
    <xf numFmtId="165" fontId="11" fillId="4" borderId="38" xfId="0" applyNumberFormat="1" applyFont="1" applyFill="1" applyBorder="1" applyAlignment="1">
      <alignment horizontal="center" vertical="center" wrapText="1"/>
    </xf>
    <xf numFmtId="165" fontId="11" fillId="4" borderId="50" xfId="0" applyNumberFormat="1" applyFont="1" applyFill="1" applyBorder="1" applyAlignment="1">
      <alignment horizontal="center" vertical="center" wrapText="1"/>
    </xf>
    <xf numFmtId="0" fontId="28" fillId="4" borderId="0" xfId="0" applyFont="1" applyFill="1" applyBorder="1" applyAlignment="1">
      <alignment horizontal="center"/>
    </xf>
    <xf numFmtId="0" fontId="8" fillId="4" borderId="0" xfId="0" applyFont="1" applyFill="1" applyBorder="1" applyAlignment="1">
      <alignment horizontal="center"/>
    </xf>
    <xf numFmtId="0" fontId="21" fillId="4" borderId="0" xfId="0" applyFont="1" applyFill="1" applyAlignment="1">
      <alignment horizontal="center"/>
    </xf>
    <xf numFmtId="0" fontId="2" fillId="4" borderId="0" xfId="0" applyFont="1" applyFill="1" applyAlignment="1">
      <alignment vertical="top" wrapText="1"/>
    </xf>
    <xf numFmtId="0" fontId="2" fillId="4" borderId="0" xfId="0" applyFont="1" applyFill="1" applyAlignment="1">
      <alignment horizontal="left" vertical="top" wrapText="1"/>
    </xf>
    <xf numFmtId="0" fontId="29" fillId="8" borderId="47" xfId="0" applyFont="1" applyFill="1" applyBorder="1" applyAlignment="1">
      <alignment horizontal="center" vertical="top" wrapText="1"/>
    </xf>
    <xf numFmtId="0" fontId="29" fillId="8" borderId="64" xfId="0" applyFont="1" applyFill="1" applyBorder="1" applyAlignment="1">
      <alignment horizontal="center" vertical="top" wrapText="1"/>
    </xf>
    <xf numFmtId="0" fontId="29" fillId="8" borderId="48" xfId="0" applyFont="1" applyFill="1" applyBorder="1" applyAlignment="1">
      <alignment horizontal="center" vertical="top" wrapText="1"/>
    </xf>
    <xf numFmtId="165" fontId="3" fillId="4" borderId="38" xfId="0" applyNumberFormat="1" applyFont="1" applyFill="1" applyBorder="1" applyAlignment="1">
      <alignment horizontal="center" vertical="center" wrapText="1"/>
    </xf>
    <xf numFmtId="165" fontId="3" fillId="4" borderId="50" xfId="0" applyNumberFormat="1" applyFont="1" applyFill="1" applyBorder="1" applyAlignment="1">
      <alignment horizontal="center" vertical="center" wrapText="1"/>
    </xf>
    <xf numFmtId="165" fontId="3" fillId="4" borderId="45" xfId="0" applyNumberFormat="1" applyFont="1" applyFill="1" applyBorder="1" applyAlignment="1">
      <alignment horizontal="center" vertical="center" wrapText="1"/>
    </xf>
    <xf numFmtId="165" fontId="5" fillId="4" borderId="38" xfId="0" applyNumberFormat="1" applyFont="1" applyFill="1" applyBorder="1" applyAlignment="1">
      <alignment horizontal="center" vertical="center" wrapText="1"/>
    </xf>
    <xf numFmtId="165" fontId="5" fillId="4" borderId="50" xfId="0" applyNumberFormat="1" applyFont="1" applyFill="1" applyBorder="1" applyAlignment="1">
      <alignment horizontal="center" vertical="center" wrapText="1"/>
    </xf>
    <xf numFmtId="165" fontId="5" fillId="4" borderId="45" xfId="0" applyNumberFormat="1" applyFont="1" applyFill="1" applyBorder="1" applyAlignment="1">
      <alignment horizontal="center" vertical="center" wrapText="1"/>
    </xf>
    <xf numFmtId="165" fontId="11" fillId="4" borderId="47" xfId="0" applyNumberFormat="1" applyFont="1" applyFill="1" applyBorder="1" applyAlignment="1">
      <alignment horizontal="center" vertical="center" wrapText="1"/>
    </xf>
    <xf numFmtId="165" fontId="11" fillId="4" borderId="68" xfId="0" applyNumberFormat="1" applyFont="1" applyFill="1" applyBorder="1" applyAlignment="1">
      <alignment horizontal="center" vertical="center" wrapText="1"/>
    </xf>
    <xf numFmtId="165" fontId="11" fillId="4" borderId="17" xfId="0" applyNumberFormat="1" applyFont="1" applyFill="1" applyBorder="1" applyAlignment="1">
      <alignment horizontal="center" vertical="center" wrapText="1"/>
    </xf>
    <xf numFmtId="165" fontId="11" fillId="4" borderId="48" xfId="0" applyNumberFormat="1" applyFont="1" applyFill="1" applyBorder="1" applyAlignment="1">
      <alignment horizontal="center" vertical="center" wrapText="1"/>
    </xf>
    <xf numFmtId="165" fontId="11" fillId="4" borderId="46" xfId="0" applyNumberFormat="1" applyFont="1" applyFill="1" applyBorder="1" applyAlignment="1">
      <alignment horizontal="center" vertical="center" wrapText="1"/>
    </xf>
    <xf numFmtId="49" fontId="18" fillId="13" borderId="70" xfId="0" applyNumberFormat="1" applyFont="1" applyFill="1" applyBorder="1" applyAlignment="1">
      <alignment horizontal="center" vertical="center" wrapText="1"/>
    </xf>
    <xf numFmtId="49" fontId="18" fillId="13" borderId="37" xfId="0" applyNumberFormat="1" applyFont="1" applyFill="1" applyBorder="1" applyAlignment="1">
      <alignment horizontal="center" vertical="center" wrapText="1"/>
    </xf>
    <xf numFmtId="4" fontId="6" fillId="0" borderId="69" xfId="0" applyNumberFormat="1" applyFont="1" applyFill="1" applyBorder="1" applyAlignment="1">
      <alignment horizontal="center" vertical="center" wrapText="1"/>
    </xf>
    <xf numFmtId="4" fontId="6" fillId="0" borderId="19" xfId="0" applyNumberFormat="1" applyFont="1" applyFill="1" applyBorder="1" applyAlignment="1">
      <alignment horizontal="center" vertical="center" wrapText="1"/>
    </xf>
    <xf numFmtId="4" fontId="6" fillId="0" borderId="24" xfId="0" applyNumberFormat="1" applyFont="1" applyFill="1" applyBorder="1" applyAlignment="1">
      <alignment horizontal="center" vertical="center" wrapText="1"/>
    </xf>
    <xf numFmtId="0" fontId="4" fillId="0" borderId="17" xfId="0" applyFont="1" applyFill="1" applyBorder="1" applyAlignment="1">
      <alignment horizontal="center"/>
    </xf>
    <xf numFmtId="0" fontId="10" fillId="0" borderId="0" xfId="0" applyFont="1" applyFill="1" applyBorder="1" applyAlignment="1">
      <alignment horizontal="left"/>
    </xf>
    <xf numFmtId="0" fontId="4" fillId="0" borderId="17" xfId="0" applyFont="1" applyFill="1" applyBorder="1" applyAlignment="1">
      <alignment horizontal="center" vertical="center" wrapText="1"/>
    </xf>
    <xf numFmtId="4" fontId="3" fillId="0" borderId="17" xfId="0" applyNumberFormat="1" applyFont="1" applyFill="1" applyBorder="1" applyAlignment="1">
      <alignment horizontal="center"/>
    </xf>
    <xf numFmtId="0" fontId="4" fillId="0" borderId="17" xfId="0" applyFont="1" applyFill="1" applyBorder="1" applyAlignment="1">
      <alignment horizontal="center" vertical="top" wrapText="1"/>
    </xf>
    <xf numFmtId="0" fontId="4" fillId="0" borderId="17" xfId="0" applyFont="1" applyFill="1" applyBorder="1" applyAlignment="1">
      <alignment horizontal="center" vertical="center"/>
    </xf>
    <xf numFmtId="0" fontId="4" fillId="4" borderId="17" xfId="0" applyFont="1" applyFill="1" applyBorder="1" applyAlignment="1">
      <alignment horizontal="center" vertical="center" wrapText="1"/>
    </xf>
    <xf numFmtId="4" fontId="4" fillId="0" borderId="17" xfId="0" applyNumberFormat="1" applyFont="1" applyFill="1" applyBorder="1" applyAlignment="1">
      <alignment horizontal="center" vertical="center" wrapText="1"/>
    </xf>
    <xf numFmtId="49" fontId="13" fillId="4" borderId="54" xfId="0" applyNumberFormat="1" applyFont="1" applyFill="1" applyBorder="1" applyAlignment="1">
      <alignment horizontal="center" vertical="center" wrapText="1"/>
    </xf>
    <xf numFmtId="49" fontId="13" fillId="4" borderId="72" xfId="0" applyNumberFormat="1" applyFont="1" applyFill="1" applyBorder="1" applyAlignment="1">
      <alignment horizontal="center" vertical="center" wrapText="1"/>
    </xf>
    <xf numFmtId="49" fontId="13" fillId="4" borderId="17" xfId="0" applyNumberFormat="1" applyFont="1" applyFill="1" applyBorder="1" applyAlignment="1">
      <alignment horizontal="center" vertical="center" wrapText="1"/>
    </xf>
    <xf numFmtId="49" fontId="13" fillId="4" borderId="37" xfId="0" applyNumberFormat="1" applyFont="1" applyFill="1" applyBorder="1" applyAlignment="1">
      <alignment horizontal="center" vertical="center" wrapText="1"/>
    </xf>
    <xf numFmtId="49" fontId="13" fillId="13" borderId="54" xfId="0" applyNumberFormat="1" applyFont="1" applyFill="1" applyBorder="1" applyAlignment="1">
      <alignment horizontal="center" vertical="center" wrapText="1"/>
    </xf>
    <xf numFmtId="49" fontId="13" fillId="13" borderId="72" xfId="0" applyNumberFormat="1" applyFont="1" applyFill="1" applyBorder="1" applyAlignment="1">
      <alignment horizontal="center" vertical="center" wrapText="1"/>
    </xf>
    <xf numFmtId="49" fontId="13" fillId="13" borderId="17" xfId="0" applyNumberFormat="1" applyFont="1" applyFill="1" applyBorder="1" applyAlignment="1">
      <alignment horizontal="center" vertical="center" wrapText="1"/>
    </xf>
    <xf numFmtId="49" fontId="13" fillId="13" borderId="37" xfId="0" applyNumberFormat="1" applyFont="1" applyFill="1" applyBorder="1" applyAlignment="1">
      <alignment horizontal="center" vertical="center" wrapText="1"/>
    </xf>
    <xf numFmtId="49" fontId="13" fillId="0" borderId="17" xfId="0" applyNumberFormat="1" applyFont="1" applyFill="1" applyBorder="1" applyAlignment="1">
      <alignment horizontal="center" vertical="center" wrapText="1"/>
    </xf>
    <xf numFmtId="49" fontId="13" fillId="0" borderId="37" xfId="0" applyNumberFormat="1" applyFont="1" applyFill="1" applyBorder="1" applyAlignment="1">
      <alignment horizontal="center" vertical="center" wrapText="1"/>
    </xf>
    <xf numFmtId="49" fontId="13" fillId="3" borderId="17" xfId="0" applyNumberFormat="1" applyFont="1" applyFill="1" applyBorder="1" applyAlignment="1">
      <alignment horizontal="center" vertical="center" wrapText="1"/>
    </xf>
    <xf numFmtId="49" fontId="13" fillId="3" borderId="37" xfId="0" applyNumberFormat="1" applyFont="1" applyFill="1" applyBorder="1" applyAlignment="1">
      <alignment horizontal="center" vertical="center" wrapText="1"/>
    </xf>
    <xf numFmtId="49" fontId="13" fillId="0" borderId="54" xfId="0" applyNumberFormat="1" applyFont="1" applyFill="1" applyBorder="1" applyAlignment="1">
      <alignment horizontal="center" vertical="center" wrapText="1"/>
    </xf>
    <xf numFmtId="49" fontId="13" fillId="0" borderId="72" xfId="0" applyNumberFormat="1" applyFont="1" applyFill="1" applyBorder="1" applyAlignment="1">
      <alignment horizontal="center" vertical="center" wrapText="1"/>
    </xf>
    <xf numFmtId="0" fontId="8" fillId="0" borderId="75" xfId="0" applyFont="1" applyFill="1" applyBorder="1" applyAlignment="1">
      <alignment horizontal="left"/>
    </xf>
    <xf numFmtId="4" fontId="4" fillId="0" borderId="17" xfId="0" applyNumberFormat="1" applyFont="1" applyFill="1" applyBorder="1" applyAlignment="1">
      <alignment horizontal="center"/>
    </xf>
    <xf numFmtId="0" fontId="2" fillId="0" borderId="0" xfId="0" applyFont="1" applyFill="1" applyBorder="1" applyAlignment="1">
      <alignment horizontal="center"/>
    </xf>
    <xf numFmtId="0" fontId="8" fillId="0" borderId="0" xfId="0" applyFont="1" applyFill="1" applyBorder="1" applyAlignment="1">
      <alignment horizontal="center"/>
    </xf>
    <xf numFmtId="0" fontId="4" fillId="0" borderId="17" xfId="0" applyNumberFormat="1" applyFont="1" applyFill="1" applyBorder="1" applyAlignment="1">
      <alignment horizontal="center" vertical="center" wrapText="1"/>
    </xf>
    <xf numFmtId="49" fontId="34" fillId="0" borderId="26" xfId="0" applyNumberFormat="1" applyFont="1" applyBorder="1" applyAlignment="1">
      <alignment horizontal="center"/>
    </xf>
    <xf numFmtId="49" fontId="34" fillId="0" borderId="73" xfId="0" applyNumberFormat="1" applyFont="1" applyBorder="1" applyAlignment="1">
      <alignment horizontal="center"/>
    </xf>
    <xf numFmtId="49" fontId="34" fillId="0" borderId="56" xfId="0" applyNumberFormat="1" applyFont="1" applyBorder="1" applyAlignment="1">
      <alignment horizontal="center"/>
    </xf>
    <xf numFmtId="49" fontId="34" fillId="0" borderId="65" xfId="0" applyNumberFormat="1" applyFont="1" applyBorder="1" applyAlignment="1">
      <alignment horizontal="center"/>
    </xf>
    <xf numFmtId="49" fontId="34" fillId="0" borderId="72" xfId="0" applyNumberFormat="1" applyFont="1" applyBorder="1" applyAlignment="1">
      <alignment horizontal="center"/>
    </xf>
    <xf numFmtId="49" fontId="34" fillId="0" borderId="74" xfId="0" applyNumberFormat="1" applyFont="1" applyBorder="1" applyAlignment="1">
      <alignment horizontal="center"/>
    </xf>
    <xf numFmtId="49" fontId="34" fillId="0" borderId="17" xfId="0" applyNumberFormat="1" applyFont="1" applyBorder="1" applyAlignment="1">
      <alignment horizontal="center"/>
    </xf>
    <xf numFmtId="49" fontId="34" fillId="0" borderId="25" xfId="0" applyNumberFormat="1" applyFont="1" applyBorder="1" applyAlignment="1">
      <alignment horizontal="center"/>
    </xf>
    <xf numFmtId="0" fontId="4" fillId="0" borderId="37" xfId="0" applyFont="1" applyFill="1" applyBorder="1" applyAlignment="1">
      <alignment horizontal="center" vertical="center" wrapText="1"/>
    </xf>
    <xf numFmtId="0" fontId="12" fillId="0" borderId="72" xfId="0" applyFont="1" applyFill="1" applyBorder="1"/>
    <xf numFmtId="0" fontId="12" fillId="0" borderId="37" xfId="0" applyFont="1" applyFill="1" applyBorder="1"/>
    <xf numFmtId="2" fontId="4" fillId="0" borderId="37" xfId="0" applyNumberFormat="1" applyFont="1" applyFill="1" applyBorder="1" applyAlignment="1">
      <alignment horizontal="center" vertical="center" wrapText="1"/>
    </xf>
    <xf numFmtId="0" fontId="12" fillId="0" borderId="70" xfId="0" applyFont="1" applyFill="1" applyBorder="1"/>
    <xf numFmtId="14" fontId="4" fillId="0" borderId="37" xfId="0" applyNumberFormat="1" applyFont="1" applyFill="1" applyBorder="1" applyAlignment="1">
      <alignment horizontal="center" vertical="center" wrapText="1"/>
    </xf>
    <xf numFmtId="4" fontId="4" fillId="3" borderId="55" xfId="0" applyNumberFormat="1" applyFont="1" applyFill="1" applyBorder="1" applyAlignment="1">
      <alignment horizontal="center" vertical="center" wrapText="1"/>
    </xf>
    <xf numFmtId="4" fontId="36" fillId="3" borderId="55" xfId="0" applyNumberFormat="1" applyFont="1" applyFill="1" applyBorder="1" applyAlignment="1">
      <alignment horizontal="center" vertical="center"/>
    </xf>
    <xf numFmtId="0" fontId="0" fillId="0" borderId="17" xfId="0" applyFill="1" applyBorder="1" applyAlignment="1">
      <alignment vertical="center"/>
    </xf>
    <xf numFmtId="0" fontId="13" fillId="0" borderId="17" xfId="0" applyFont="1" applyFill="1" applyBorder="1" applyAlignment="1">
      <alignment vertical="center"/>
    </xf>
    <xf numFmtId="4" fontId="0" fillId="0" borderId="17" xfId="0" applyNumberFormat="1" applyFill="1" applyBorder="1" applyAlignment="1">
      <alignment vertical="center"/>
    </xf>
    <xf numFmtId="0" fontId="11" fillId="0" borderId="17" xfId="3" applyNumberFormat="1" applyFont="1" applyFill="1" applyBorder="1" applyAlignment="1">
      <alignment horizontal="center" vertical="center" wrapText="1"/>
    </xf>
    <xf numFmtId="0" fontId="16" fillId="0" borderId="17" xfId="0" applyFont="1" applyFill="1" applyBorder="1" applyAlignment="1">
      <alignment vertical="center"/>
    </xf>
    <xf numFmtId="4" fontId="16" fillId="0" borderId="17" xfId="0" applyNumberFormat="1" applyFont="1" applyFill="1" applyBorder="1" applyAlignment="1">
      <alignment vertical="center"/>
    </xf>
    <xf numFmtId="4" fontId="0" fillId="0" borderId="0" xfId="0" applyNumberFormat="1" applyFill="1" applyAlignment="1">
      <alignment horizontal="center" vertical="center"/>
    </xf>
    <xf numFmtId="4" fontId="0" fillId="0" borderId="75" xfId="0" applyNumberFormat="1" applyFill="1" applyBorder="1" applyAlignment="1">
      <alignment horizontal="center" vertical="center"/>
    </xf>
    <xf numFmtId="4" fontId="22" fillId="0" borderId="17" xfId="0" applyNumberFormat="1" applyFont="1" applyFill="1" applyBorder="1" applyAlignment="1">
      <alignment horizontal="center" vertical="center"/>
    </xf>
    <xf numFmtId="0" fontId="4" fillId="0" borderId="37" xfId="0" applyFont="1" applyFill="1" applyBorder="1" applyAlignment="1">
      <alignment horizontal="center" vertical="center"/>
    </xf>
    <xf numFmtId="49" fontId="4" fillId="0" borderId="37" xfId="0" applyNumberFormat="1" applyFont="1" applyFill="1" applyBorder="1" applyAlignment="1">
      <alignment horizontal="center" vertical="center" wrapText="1"/>
    </xf>
    <xf numFmtId="0" fontId="4" fillId="0" borderId="37" xfId="0" applyFont="1" applyFill="1" applyBorder="1" applyAlignment="1">
      <alignment horizontal="center" vertical="center" wrapText="1"/>
    </xf>
    <xf numFmtId="0" fontId="3" fillId="0" borderId="17" xfId="0" applyNumberFormat="1" applyFont="1" applyFill="1" applyBorder="1" applyAlignment="1">
      <alignment vertical="center"/>
    </xf>
    <xf numFmtId="2" fontId="3" fillId="0" borderId="17" xfId="0" applyNumberFormat="1" applyFont="1" applyFill="1" applyBorder="1" applyAlignment="1">
      <alignment horizontal="center" vertical="center"/>
    </xf>
    <xf numFmtId="2" fontId="15" fillId="0" borderId="17" xfId="3" applyNumberFormat="1" applyFont="1" applyFill="1" applyBorder="1" applyAlignment="1">
      <alignment horizontal="center" vertical="center" wrapText="1"/>
    </xf>
    <xf numFmtId="0" fontId="3" fillId="0" borderId="25" xfId="0" applyNumberFormat="1" applyFont="1" applyFill="1" applyBorder="1" applyAlignment="1">
      <alignment horizontal="center" vertical="center" wrapText="1"/>
    </xf>
    <xf numFmtId="49" fontId="4" fillId="0" borderId="26" xfId="0" applyNumberFormat="1" applyFont="1" applyFill="1" applyBorder="1" applyAlignment="1">
      <alignment horizontal="center" vertical="center" wrapText="1"/>
    </xf>
    <xf numFmtId="14" fontId="3" fillId="0" borderId="25" xfId="0" applyNumberFormat="1" applyFont="1" applyFill="1" applyBorder="1" applyAlignment="1">
      <alignment horizontal="center" vertical="center" wrapText="1"/>
    </xf>
    <xf numFmtId="4" fontId="4" fillId="0" borderId="37" xfId="0" applyNumberFormat="1" applyFont="1" applyFill="1" applyBorder="1" applyAlignment="1">
      <alignment horizontal="center" vertical="center" wrapText="1"/>
    </xf>
    <xf numFmtId="4" fontId="22" fillId="0" borderId="0" xfId="0" applyNumberFormat="1" applyFont="1" applyFill="1" applyAlignment="1">
      <alignment horizontal="center" vertical="center"/>
    </xf>
    <xf numFmtId="0" fontId="2" fillId="0" borderId="17" xfId="0" applyFont="1" applyFill="1" applyBorder="1"/>
    <xf numFmtId="0" fontId="0" fillId="0" borderId="17" xfId="0" applyNumberFormat="1" applyFill="1" applyBorder="1"/>
    <xf numFmtId="14" fontId="3" fillId="0" borderId="26" xfId="0" applyNumberFormat="1" applyFont="1" applyFill="1" applyBorder="1" applyAlignment="1">
      <alignment horizontal="center" vertical="center" wrapText="1"/>
    </xf>
    <xf numFmtId="4" fontId="16" fillId="0" borderId="17" xfId="0" applyNumberFormat="1" applyFont="1" applyFill="1" applyBorder="1" applyAlignment="1">
      <alignment horizontal="center" vertical="center"/>
    </xf>
  </cellXfs>
  <cellStyles count="4">
    <cellStyle name="Moeda" xfId="3" builtinId="4"/>
    <cellStyle name="Normal" xfId="0" builtinId="0"/>
    <cellStyle name="Normal 2" xfId="2"/>
    <cellStyle name="Normal 3" xfId="1"/>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20"/>
  <sheetViews>
    <sheetView view="pageBreakPreview" topLeftCell="A147" zoomScaleSheetLayoutView="100" workbookViewId="0">
      <pane xSplit="3" ySplit="6" topLeftCell="D180" activePane="bottomRight" state="frozen"/>
      <selection activeCell="A147" sqref="A147"/>
      <selection pane="topRight" activeCell="D147" sqref="D147"/>
      <selection pane="bottomLeft" activeCell="A153" sqref="A153"/>
      <selection pane="bottomRight" activeCell="C185" sqref="C185"/>
    </sheetView>
  </sheetViews>
  <sheetFormatPr defaultColWidth="9.109375" defaultRowHeight="13.2" x14ac:dyDescent="0.25"/>
  <cols>
    <col min="1" max="2" width="8.6640625" style="3" customWidth="1"/>
    <col min="3" max="3" width="80.6640625" style="3" customWidth="1"/>
    <col min="4" max="4" width="10.33203125" style="3" customWidth="1"/>
    <col min="5" max="5" width="10.6640625" style="129" customWidth="1"/>
    <col min="6" max="6" width="12.33203125" style="3" customWidth="1"/>
    <col min="7" max="7" width="9.6640625" style="3" customWidth="1"/>
    <col min="8" max="8" width="10.6640625" style="3" customWidth="1"/>
    <col min="9" max="9" width="9.6640625" style="3" customWidth="1"/>
    <col min="10" max="10" width="16.33203125" style="23" customWidth="1"/>
    <col min="11" max="11" width="16" style="23" customWidth="1"/>
    <col min="12" max="12" width="15.44140625" style="23" customWidth="1"/>
    <col min="13" max="13" width="10.5546875" style="3" bestFit="1" customWidth="1"/>
    <col min="14" max="14" width="19.33203125" style="3" customWidth="1"/>
    <col min="15" max="15" width="11.6640625" style="3" bestFit="1" customWidth="1"/>
    <col min="16" max="16" width="8.6640625" style="3" customWidth="1"/>
    <col min="17" max="17" width="10.6640625" style="3" customWidth="1"/>
    <col min="18" max="18" width="10" style="3" bestFit="1" customWidth="1"/>
    <col min="19" max="19" width="16.44140625" style="3" customWidth="1"/>
    <col min="20" max="30" width="8.6640625" style="3" customWidth="1"/>
    <col min="31" max="16384" width="9.109375" style="3"/>
  </cols>
  <sheetData>
    <row r="1" spans="1:12" ht="27" customHeight="1" x14ac:dyDescent="0.4">
      <c r="A1" s="899" t="s">
        <v>20</v>
      </c>
      <c r="B1" s="899"/>
      <c r="C1" s="900"/>
      <c r="D1" s="900"/>
      <c r="E1" s="900"/>
      <c r="F1" s="900"/>
      <c r="G1" s="900"/>
      <c r="H1" s="900"/>
      <c r="I1" s="900"/>
      <c r="J1" s="900"/>
    </row>
    <row r="2" spans="1:12" ht="18" customHeight="1" x14ac:dyDescent="0.3">
      <c r="A2" s="901" t="s">
        <v>21</v>
      </c>
      <c r="B2" s="901"/>
      <c r="C2" s="901"/>
      <c r="D2" s="901"/>
      <c r="E2" s="901"/>
      <c r="F2" s="901"/>
      <c r="G2" s="901"/>
      <c r="H2" s="901"/>
      <c r="I2" s="901"/>
      <c r="J2" s="901"/>
    </row>
    <row r="3" spans="1:12" ht="12" customHeight="1" x14ac:dyDescent="0.3">
      <c r="A3" s="901"/>
      <c r="B3" s="901"/>
      <c r="C3" s="901"/>
      <c r="D3" s="901"/>
      <c r="E3" s="901"/>
      <c r="F3" s="901"/>
      <c r="G3" s="901"/>
      <c r="H3" s="901"/>
      <c r="I3" s="901"/>
      <c r="J3" s="901"/>
    </row>
    <row r="4" spans="1:12" ht="15.6" x14ac:dyDescent="0.3">
      <c r="A4" s="902" t="s">
        <v>22</v>
      </c>
      <c r="B4" s="902"/>
      <c r="C4" s="902"/>
      <c r="D4" s="902"/>
      <c r="E4" s="902"/>
      <c r="F4" s="902"/>
      <c r="G4" s="902"/>
      <c r="H4" s="902"/>
      <c r="I4" s="902"/>
      <c r="J4" s="902"/>
    </row>
    <row r="5" spans="1:12" ht="9.9" customHeight="1" thickBot="1" x14ac:dyDescent="0.35">
      <c r="A5" s="4"/>
      <c r="B5" s="4"/>
      <c r="C5" s="4"/>
      <c r="D5" s="4"/>
      <c r="E5" s="327"/>
      <c r="F5" s="4"/>
      <c r="G5" s="4"/>
      <c r="H5" s="4"/>
      <c r="I5" s="4"/>
      <c r="J5" s="59"/>
      <c r="K5" s="59"/>
      <c r="L5" s="59"/>
    </row>
    <row r="6" spans="1:12" ht="12" customHeight="1" x14ac:dyDescent="0.3">
      <c r="A6" s="52" t="s">
        <v>3</v>
      </c>
      <c r="B6" s="53"/>
      <c r="C6" s="53"/>
      <c r="D6" s="53"/>
      <c r="E6" s="328"/>
      <c r="F6" s="54" t="s">
        <v>14</v>
      </c>
      <c r="G6" s="53"/>
      <c r="H6" s="53"/>
      <c r="I6" s="53"/>
      <c r="J6" s="60"/>
      <c r="K6" s="60"/>
      <c r="L6" s="61"/>
    </row>
    <row r="7" spans="1:12" ht="15.6" x14ac:dyDescent="0.3">
      <c r="A7" s="898" t="s">
        <v>20</v>
      </c>
      <c r="B7" s="897"/>
      <c r="C7" s="897"/>
      <c r="D7" s="897"/>
      <c r="E7" s="329"/>
      <c r="F7" s="193">
        <v>2014</v>
      </c>
      <c r="G7" s="193"/>
      <c r="H7" s="193"/>
      <c r="I7" s="193"/>
      <c r="J7" s="62"/>
      <c r="K7" s="62"/>
      <c r="L7" s="63"/>
    </row>
    <row r="8" spans="1:12" ht="8.1" customHeight="1" x14ac:dyDescent="0.3">
      <c r="A8" s="192"/>
      <c r="B8" s="193"/>
      <c r="C8" s="193"/>
      <c r="D8" s="193"/>
      <c r="E8" s="329"/>
      <c r="F8" s="193"/>
      <c r="G8" s="193"/>
      <c r="H8" s="193"/>
      <c r="I8" s="193"/>
      <c r="J8" s="62"/>
      <c r="K8" s="62"/>
      <c r="L8" s="63"/>
    </row>
    <row r="9" spans="1:12" ht="12" customHeight="1" x14ac:dyDescent="0.3">
      <c r="A9" s="5" t="s">
        <v>13</v>
      </c>
      <c r="B9" s="193"/>
      <c r="C9" s="193"/>
      <c r="D9" s="193"/>
      <c r="E9" s="329"/>
      <c r="F9" s="6" t="s">
        <v>6</v>
      </c>
      <c r="G9" s="128"/>
      <c r="H9" s="128"/>
      <c r="I9" s="128"/>
      <c r="J9" s="64"/>
      <c r="K9" s="64"/>
      <c r="L9" s="65"/>
    </row>
    <row r="10" spans="1:12" ht="15.6" x14ac:dyDescent="0.3">
      <c r="A10" s="898" t="s">
        <v>24</v>
      </c>
      <c r="B10" s="897"/>
      <c r="C10" s="897"/>
      <c r="D10" s="897"/>
      <c r="E10" s="329"/>
      <c r="F10" s="897" t="s">
        <v>408</v>
      </c>
      <c r="G10" s="897"/>
      <c r="H10" s="897"/>
      <c r="I10" s="897"/>
      <c r="J10" s="897"/>
      <c r="K10" s="66"/>
      <c r="L10" s="67"/>
    </row>
    <row r="11" spans="1:12" ht="12.75" customHeight="1" thickBot="1" x14ac:dyDescent="0.3">
      <c r="A11" s="921"/>
      <c r="B11" s="922"/>
      <c r="C11" s="922"/>
      <c r="D11" s="922"/>
      <c r="E11" s="922"/>
      <c r="F11" s="922"/>
      <c r="G11" s="922"/>
      <c r="H11" s="922"/>
      <c r="I11" s="922"/>
      <c r="J11" s="922"/>
      <c r="K11" s="68"/>
      <c r="L11" s="69"/>
    </row>
    <row r="12" spans="1:12" ht="13.8" thickBot="1" x14ac:dyDescent="0.3">
      <c r="A12" s="923" t="s">
        <v>17</v>
      </c>
      <c r="B12" s="903" t="s">
        <v>0</v>
      </c>
      <c r="C12" s="904"/>
      <c r="D12" s="904"/>
      <c r="E12" s="926"/>
      <c r="F12" s="927" t="s">
        <v>11</v>
      </c>
      <c r="G12" s="930" t="s">
        <v>2</v>
      </c>
      <c r="H12" s="930" t="s">
        <v>18</v>
      </c>
      <c r="I12" s="903" t="s">
        <v>1</v>
      </c>
      <c r="J12" s="904"/>
      <c r="K12" s="904"/>
      <c r="L12" s="926"/>
    </row>
    <row r="13" spans="1:12" ht="12.75" customHeight="1" x14ac:dyDescent="0.25">
      <c r="A13" s="924"/>
      <c r="B13" s="923" t="s">
        <v>7</v>
      </c>
      <c r="C13" s="933" t="s">
        <v>9</v>
      </c>
      <c r="D13" s="936" t="s">
        <v>8</v>
      </c>
      <c r="E13" s="915" t="s">
        <v>10</v>
      </c>
      <c r="F13" s="928"/>
      <c r="G13" s="931"/>
      <c r="H13" s="931"/>
      <c r="I13" s="894" t="s">
        <v>12</v>
      </c>
      <c r="J13" s="918" t="s">
        <v>32</v>
      </c>
      <c r="K13" s="918" t="s">
        <v>200</v>
      </c>
      <c r="L13" s="918" t="s">
        <v>201</v>
      </c>
    </row>
    <row r="14" spans="1:12" ht="12" customHeight="1" x14ac:dyDescent="0.25">
      <c r="A14" s="924"/>
      <c r="B14" s="924"/>
      <c r="C14" s="934"/>
      <c r="D14" s="937"/>
      <c r="E14" s="916"/>
      <c r="F14" s="928"/>
      <c r="G14" s="931"/>
      <c r="H14" s="931"/>
      <c r="I14" s="895"/>
      <c r="J14" s="919"/>
      <c r="K14" s="919"/>
      <c r="L14" s="919"/>
    </row>
    <row r="15" spans="1:12" ht="21.75" customHeight="1" thickBot="1" x14ac:dyDescent="0.3">
      <c r="A15" s="925"/>
      <c r="B15" s="925"/>
      <c r="C15" s="935"/>
      <c r="D15" s="938"/>
      <c r="E15" s="917"/>
      <c r="F15" s="929"/>
      <c r="G15" s="932"/>
      <c r="H15" s="932"/>
      <c r="I15" s="896"/>
      <c r="J15" s="920"/>
      <c r="K15" s="920"/>
      <c r="L15" s="920"/>
    </row>
    <row r="16" spans="1:12" s="226" customFormat="1" ht="13.8" thickBot="1" x14ac:dyDescent="0.3">
      <c r="A16" s="220"/>
      <c r="B16" s="221"/>
      <c r="C16" s="222" t="s">
        <v>31</v>
      </c>
      <c r="D16" s="223"/>
      <c r="E16" s="330"/>
      <c r="F16" s="223"/>
      <c r="G16" s="223"/>
      <c r="H16" s="223"/>
      <c r="I16" s="224"/>
      <c r="J16" s="225"/>
      <c r="K16" s="225"/>
      <c r="L16" s="225"/>
    </row>
    <row r="17" spans="1:14" x14ac:dyDescent="0.25">
      <c r="A17" s="14"/>
      <c r="B17" s="15"/>
      <c r="C17" s="16"/>
      <c r="D17" s="17"/>
      <c r="E17" s="331"/>
      <c r="F17" s="17"/>
      <c r="G17" s="17"/>
      <c r="H17" s="17"/>
      <c r="I17" s="17"/>
      <c r="J17" s="24"/>
      <c r="K17" s="24"/>
      <c r="L17" s="24"/>
    </row>
    <row r="18" spans="1:14" s="309" customFormat="1" ht="21" thickBot="1" x14ac:dyDescent="0.3">
      <c r="A18" s="311"/>
      <c r="B18" s="312" t="s">
        <v>25</v>
      </c>
      <c r="C18" s="310" t="s">
        <v>27</v>
      </c>
      <c r="D18" s="313" t="s">
        <v>16</v>
      </c>
      <c r="E18" s="332" t="s">
        <v>4</v>
      </c>
      <c r="F18" s="314" t="s">
        <v>26</v>
      </c>
      <c r="G18" s="315" t="s">
        <v>30</v>
      </c>
      <c r="H18" s="315" t="s">
        <v>19</v>
      </c>
      <c r="I18" s="311" t="s">
        <v>5</v>
      </c>
      <c r="J18" s="316">
        <v>5553367.8799999999</v>
      </c>
      <c r="K18" s="317">
        <f>463268.41+408316.44+61001.15+489305.93+456866.05+499929.88+20431.91+504453.43+521742.18+511672.75+523940.68+98807.85+49403.43+524698.39+148211.28+98808.83+517884.48+524682.66+520802.86</f>
        <v>6944228.5900000008</v>
      </c>
      <c r="L18" s="318">
        <f>K18</f>
        <v>6944228.5900000008</v>
      </c>
      <c r="M18" s="319" t="s">
        <v>331</v>
      </c>
    </row>
    <row r="19" spans="1:14" ht="13.8" thickBot="1" x14ac:dyDescent="0.3">
      <c r="A19" s="2"/>
      <c r="B19" s="2"/>
      <c r="C19" s="13"/>
      <c r="D19" s="1"/>
      <c r="E19" s="332"/>
      <c r="F19" s="903" t="s">
        <v>23</v>
      </c>
      <c r="G19" s="904"/>
      <c r="H19" s="904"/>
      <c r="I19" s="904"/>
      <c r="J19" s="7">
        <f>SUM(J18:J18)</f>
        <v>5553367.8799999999</v>
      </c>
      <c r="K19" s="7">
        <f>SUM(K18:K18)</f>
        <v>6944228.5900000008</v>
      </c>
      <c r="L19" s="7">
        <f>K19</f>
        <v>6944228.5900000008</v>
      </c>
    </row>
    <row r="20" spans="1:14" s="284" customFormat="1" ht="13.8" thickBot="1" x14ac:dyDescent="0.3">
      <c r="A20" s="278"/>
      <c r="B20" s="279"/>
      <c r="C20" s="280" t="s">
        <v>35</v>
      </c>
      <c r="D20" s="281"/>
      <c r="E20" s="330"/>
      <c r="F20" s="281"/>
      <c r="G20" s="281"/>
      <c r="H20" s="281"/>
      <c r="I20" s="282"/>
      <c r="J20" s="283"/>
      <c r="K20" s="283"/>
      <c r="L20" s="283"/>
    </row>
    <row r="21" spans="1:14" x14ac:dyDescent="0.25">
      <c r="A21" s="31"/>
      <c r="B21" s="32" t="s">
        <v>40</v>
      </c>
      <c r="C21" s="33" t="s">
        <v>43</v>
      </c>
      <c r="D21" s="34" t="s">
        <v>15</v>
      </c>
      <c r="E21" s="331" t="s">
        <v>221</v>
      </c>
      <c r="F21" s="35" t="s">
        <v>44</v>
      </c>
      <c r="G21" s="74" t="s">
        <v>40</v>
      </c>
      <c r="H21" s="30" t="s">
        <v>19</v>
      </c>
      <c r="I21" s="31" t="s">
        <v>5</v>
      </c>
      <c r="J21" s="75">
        <v>48800</v>
      </c>
      <c r="K21" s="36">
        <v>0</v>
      </c>
      <c r="L21" s="36">
        <v>38173.980000000003</v>
      </c>
    </row>
    <row r="22" spans="1:14" s="309" customFormat="1" ht="51" x14ac:dyDescent="0.25">
      <c r="A22" s="311"/>
      <c r="B22" s="312" t="s">
        <v>41</v>
      </c>
      <c r="C22" s="277" t="s">
        <v>42</v>
      </c>
      <c r="D22" s="274" t="s">
        <v>15</v>
      </c>
      <c r="E22" s="332" t="s">
        <v>223</v>
      </c>
      <c r="F22" s="275" t="s">
        <v>45</v>
      </c>
      <c r="G22" s="235" t="s">
        <v>41</v>
      </c>
      <c r="H22" s="246" t="s">
        <v>19</v>
      </c>
      <c r="I22" s="237" t="s">
        <v>5</v>
      </c>
      <c r="J22" s="239">
        <v>955272.36</v>
      </c>
      <c r="K22" s="258">
        <f>100000+100000+49000</f>
        <v>249000</v>
      </c>
      <c r="L22" s="258" t="s">
        <v>575</v>
      </c>
    </row>
    <row r="23" spans="1:14" s="284" customFormat="1" ht="20.399999999999999" x14ac:dyDescent="0.25">
      <c r="A23" s="285"/>
      <c r="B23" s="286" t="s">
        <v>38</v>
      </c>
      <c r="C23" s="287" t="s">
        <v>37</v>
      </c>
      <c r="D23" s="288" t="s">
        <v>15</v>
      </c>
      <c r="E23" s="332" t="s">
        <v>221</v>
      </c>
      <c r="F23" s="289" t="s">
        <v>46</v>
      </c>
      <c r="G23" s="290" t="s">
        <v>38</v>
      </c>
      <c r="H23" s="291" t="s">
        <v>19</v>
      </c>
      <c r="I23" s="285" t="s">
        <v>5</v>
      </c>
      <c r="J23" s="292">
        <v>220545.94</v>
      </c>
      <c r="K23" s="293">
        <v>0</v>
      </c>
      <c r="L23" s="293">
        <v>267693.96999999997</v>
      </c>
    </row>
    <row r="24" spans="1:14" s="284" customFormat="1" ht="20.399999999999999" x14ac:dyDescent="0.25">
      <c r="A24" s="294"/>
      <c r="B24" s="286" t="s">
        <v>39</v>
      </c>
      <c r="C24" s="295" t="s">
        <v>36</v>
      </c>
      <c r="D24" s="288" t="s">
        <v>15</v>
      </c>
      <c r="E24" s="332" t="s">
        <v>221</v>
      </c>
      <c r="F24" s="289" t="s">
        <v>47</v>
      </c>
      <c r="G24" s="290" t="s">
        <v>51</v>
      </c>
      <c r="H24" s="291" t="s">
        <v>19</v>
      </c>
      <c r="I24" s="285" t="s">
        <v>5</v>
      </c>
      <c r="J24" s="292">
        <v>760202.46</v>
      </c>
      <c r="K24" s="293">
        <v>0</v>
      </c>
      <c r="L24" s="293">
        <v>900568.15</v>
      </c>
    </row>
    <row r="25" spans="1:14" ht="33.75" customHeight="1" x14ac:dyDescent="0.25">
      <c r="A25" s="20"/>
      <c r="B25" s="8" t="s">
        <v>51</v>
      </c>
      <c r="C25" s="21" t="s">
        <v>50</v>
      </c>
      <c r="D25" s="1" t="s">
        <v>15</v>
      </c>
      <c r="E25" s="332" t="s">
        <v>223</v>
      </c>
      <c r="F25" s="12" t="s">
        <v>52</v>
      </c>
      <c r="G25" s="55" t="s">
        <v>39</v>
      </c>
      <c r="H25" s="9" t="s">
        <v>19</v>
      </c>
      <c r="I25" s="2" t="s">
        <v>5</v>
      </c>
      <c r="J25" s="42">
        <v>474833.57</v>
      </c>
      <c r="K25" s="11"/>
      <c r="L25" s="11">
        <f>425236.7+45918.47</f>
        <v>471155.17000000004</v>
      </c>
      <c r="N25" s="3">
        <v>28465.66</v>
      </c>
    </row>
    <row r="26" spans="1:14" ht="30.6" x14ac:dyDescent="0.25">
      <c r="A26" s="20"/>
      <c r="B26" s="8" t="s">
        <v>57</v>
      </c>
      <c r="C26" s="21" t="s">
        <v>53</v>
      </c>
      <c r="D26" s="1" t="s">
        <v>15</v>
      </c>
      <c r="E26" s="332" t="s">
        <v>33</v>
      </c>
      <c r="F26" s="12" t="s">
        <v>54</v>
      </c>
      <c r="G26" s="55" t="s">
        <v>33</v>
      </c>
      <c r="H26" s="9" t="s">
        <v>19</v>
      </c>
      <c r="I26" s="2" t="s">
        <v>5</v>
      </c>
      <c r="J26" s="42">
        <v>0</v>
      </c>
      <c r="K26" s="11">
        <v>0</v>
      </c>
      <c r="L26" s="11">
        <v>0</v>
      </c>
      <c r="N26" s="57">
        <v>17452.810000000001</v>
      </c>
    </row>
    <row r="27" spans="1:14" s="284" customFormat="1" ht="20.399999999999999" x14ac:dyDescent="0.25">
      <c r="A27" s="294"/>
      <c r="B27" s="286" t="s">
        <v>58</v>
      </c>
      <c r="C27" s="295" t="s">
        <v>55</v>
      </c>
      <c r="D27" s="288" t="s">
        <v>15</v>
      </c>
      <c r="E27" s="332" t="s">
        <v>221</v>
      </c>
      <c r="F27" s="289" t="s">
        <v>56</v>
      </c>
      <c r="G27" s="290" t="s">
        <v>61</v>
      </c>
      <c r="H27" s="291" t="s">
        <v>19</v>
      </c>
      <c r="I27" s="285" t="s">
        <v>5</v>
      </c>
      <c r="J27" s="292">
        <v>529489.25</v>
      </c>
      <c r="K27" s="293">
        <v>0</v>
      </c>
      <c r="L27" s="293">
        <v>577690.30000000005</v>
      </c>
      <c r="N27" s="284">
        <f>SUM(N25:N26)</f>
        <v>45918.47</v>
      </c>
    </row>
    <row r="28" spans="1:14" s="101" customFormat="1" ht="20.399999999999999" x14ac:dyDescent="0.25">
      <c r="A28" s="110"/>
      <c r="B28" s="111" t="s">
        <v>61</v>
      </c>
      <c r="C28" s="112" t="s">
        <v>65</v>
      </c>
      <c r="D28" s="113" t="s">
        <v>15</v>
      </c>
      <c r="E28" s="332" t="s">
        <v>221</v>
      </c>
      <c r="F28" s="114" t="s">
        <v>59</v>
      </c>
      <c r="G28" s="115" t="s">
        <v>57</v>
      </c>
      <c r="H28" s="104" t="s">
        <v>19</v>
      </c>
      <c r="I28" s="106" t="s">
        <v>5</v>
      </c>
      <c r="J28" s="116">
        <v>137651.4</v>
      </c>
      <c r="K28" s="107">
        <v>0</v>
      </c>
      <c r="L28" s="107">
        <v>137651.4</v>
      </c>
    </row>
    <row r="29" spans="1:14" s="101" customFormat="1" ht="20.399999999999999" x14ac:dyDescent="0.25">
      <c r="A29" s="110"/>
      <c r="B29" s="117" t="s">
        <v>62</v>
      </c>
      <c r="C29" s="118" t="s">
        <v>66</v>
      </c>
      <c r="D29" s="113" t="s">
        <v>15</v>
      </c>
      <c r="E29" s="332" t="s">
        <v>221</v>
      </c>
      <c r="F29" s="114" t="s">
        <v>60</v>
      </c>
      <c r="G29" s="115" t="s">
        <v>58</v>
      </c>
      <c r="H29" s="119" t="s">
        <v>19</v>
      </c>
      <c r="I29" s="110" t="s">
        <v>5</v>
      </c>
      <c r="J29" s="116">
        <v>60928</v>
      </c>
      <c r="K29" s="116">
        <v>0</v>
      </c>
      <c r="L29" s="107">
        <v>60928</v>
      </c>
    </row>
    <row r="30" spans="1:14" s="101" customFormat="1" x14ac:dyDescent="0.25">
      <c r="A30" s="110"/>
      <c r="B30" s="117" t="s">
        <v>64</v>
      </c>
      <c r="C30" s="118" t="s">
        <v>67</v>
      </c>
      <c r="D30" s="113" t="s">
        <v>15</v>
      </c>
      <c r="E30" s="332" t="s">
        <v>221</v>
      </c>
      <c r="F30" s="114" t="s">
        <v>63</v>
      </c>
      <c r="G30" s="120" t="s">
        <v>62</v>
      </c>
      <c r="H30" s="104" t="s">
        <v>19</v>
      </c>
      <c r="I30" s="106" t="s">
        <v>5</v>
      </c>
      <c r="J30" s="121">
        <v>45154.46</v>
      </c>
      <c r="K30" s="107">
        <v>0</v>
      </c>
      <c r="L30" s="107">
        <v>45154.46</v>
      </c>
    </row>
    <row r="31" spans="1:14" ht="30.6" x14ac:dyDescent="0.25">
      <c r="A31" s="47"/>
      <c r="B31" s="47" t="s">
        <v>82</v>
      </c>
      <c r="C31" s="48" t="s">
        <v>68</v>
      </c>
      <c r="D31" s="49" t="s">
        <v>15</v>
      </c>
      <c r="E31" s="149" t="s">
        <v>33</v>
      </c>
      <c r="F31" s="12" t="s">
        <v>89</v>
      </c>
      <c r="G31" s="55" t="s">
        <v>33</v>
      </c>
      <c r="H31" s="9" t="s">
        <v>19</v>
      </c>
      <c r="I31" s="2" t="s">
        <v>5</v>
      </c>
      <c r="J31" s="42">
        <v>0</v>
      </c>
      <c r="K31" s="11">
        <v>0</v>
      </c>
      <c r="L31" s="11">
        <v>0</v>
      </c>
    </row>
    <row r="32" spans="1:14" ht="36" customHeight="1" x14ac:dyDescent="0.25">
      <c r="A32" s="47"/>
      <c r="B32" s="47" t="s">
        <v>70</v>
      </c>
      <c r="C32" s="48" t="s">
        <v>69</v>
      </c>
      <c r="D32" s="49" t="s">
        <v>15</v>
      </c>
      <c r="E32" s="149" t="s">
        <v>223</v>
      </c>
      <c r="F32" s="12" t="s">
        <v>90</v>
      </c>
      <c r="G32" s="55" t="s">
        <v>70</v>
      </c>
      <c r="H32" s="9" t="s">
        <v>19</v>
      </c>
      <c r="I32" s="2" t="s">
        <v>5</v>
      </c>
      <c r="J32" s="42">
        <v>199414.43</v>
      </c>
      <c r="K32" s="180">
        <f>35817.94+58524.97+50728.29+54343.23+10510.89</f>
        <v>209925.32</v>
      </c>
      <c r="L32" s="180">
        <f>35817.94+58524.97+50728.29+54343.23+10510.89</f>
        <v>209925.32</v>
      </c>
      <c r="M32" s="179" t="s">
        <v>330</v>
      </c>
      <c r="N32" s="3" t="s">
        <v>377</v>
      </c>
    </row>
    <row r="33" spans="1:32" ht="20.399999999999999" x14ac:dyDescent="0.25">
      <c r="A33" s="47"/>
      <c r="B33" s="47" t="s">
        <v>101</v>
      </c>
      <c r="C33" s="48" t="s">
        <v>71</v>
      </c>
      <c r="D33" s="49" t="s">
        <v>15</v>
      </c>
      <c r="E33" s="149" t="s">
        <v>221</v>
      </c>
      <c r="F33" s="12" t="s">
        <v>88</v>
      </c>
      <c r="G33" s="55" t="s">
        <v>64</v>
      </c>
      <c r="H33" s="9" t="s">
        <v>19</v>
      </c>
      <c r="I33" s="2" t="s">
        <v>5</v>
      </c>
      <c r="J33" s="42">
        <v>44948.53</v>
      </c>
      <c r="K33" s="11">
        <v>0</v>
      </c>
      <c r="L33" s="11">
        <v>19200.580000000002</v>
      </c>
    </row>
    <row r="34" spans="1:32" ht="21" x14ac:dyDescent="0.25">
      <c r="A34" s="47"/>
      <c r="B34" s="47" t="s">
        <v>102</v>
      </c>
      <c r="C34" s="48" t="s">
        <v>72</v>
      </c>
      <c r="D34" s="49" t="s">
        <v>15</v>
      </c>
      <c r="E34" s="149" t="s">
        <v>33</v>
      </c>
      <c r="F34" s="12" t="s">
        <v>91</v>
      </c>
      <c r="G34" s="55" t="s">
        <v>33</v>
      </c>
      <c r="H34" s="9" t="s">
        <v>19</v>
      </c>
      <c r="I34" s="2" t="s">
        <v>5</v>
      </c>
      <c r="J34" s="42">
        <v>0</v>
      </c>
      <c r="K34" s="11">
        <v>0</v>
      </c>
      <c r="L34" s="11">
        <v>0</v>
      </c>
      <c r="AF34" s="18"/>
    </row>
    <row r="35" spans="1:32" ht="21" x14ac:dyDescent="0.25">
      <c r="A35" s="47"/>
      <c r="B35" s="47" t="s">
        <v>75</v>
      </c>
      <c r="C35" s="48" t="s">
        <v>73</v>
      </c>
      <c r="D35" s="49" t="s">
        <v>15</v>
      </c>
      <c r="E35" s="149" t="s">
        <v>33</v>
      </c>
      <c r="F35" s="12" t="s">
        <v>94</v>
      </c>
      <c r="G35" s="55" t="s">
        <v>33</v>
      </c>
      <c r="H35" s="9" t="s">
        <v>107</v>
      </c>
      <c r="I35" s="2" t="s">
        <v>5</v>
      </c>
      <c r="J35" s="42">
        <v>0</v>
      </c>
      <c r="K35" s="11">
        <v>0</v>
      </c>
      <c r="L35" s="11">
        <v>0</v>
      </c>
    </row>
    <row r="36" spans="1:32" ht="31.2" thickBot="1" x14ac:dyDescent="0.3">
      <c r="A36" s="76"/>
      <c r="B36" s="76" t="s">
        <v>78</v>
      </c>
      <c r="C36" s="77" t="s">
        <v>74</v>
      </c>
      <c r="D36" s="78" t="s">
        <v>15</v>
      </c>
      <c r="E36" s="152" t="s">
        <v>33</v>
      </c>
      <c r="F36" s="39" t="s">
        <v>95</v>
      </c>
      <c r="G36" s="79" t="s">
        <v>33</v>
      </c>
      <c r="H36" s="40" t="s">
        <v>107</v>
      </c>
      <c r="I36" s="37" t="s">
        <v>5</v>
      </c>
      <c r="J36" s="41">
        <v>0</v>
      </c>
      <c r="K36" s="41">
        <v>0</v>
      </c>
      <c r="L36" s="41">
        <v>0</v>
      </c>
    </row>
    <row r="37" spans="1:32" ht="20.399999999999999" x14ac:dyDescent="0.25">
      <c r="A37" s="71"/>
      <c r="B37" s="71" t="s">
        <v>80</v>
      </c>
      <c r="C37" s="72" t="s">
        <v>76</v>
      </c>
      <c r="D37" s="73" t="s">
        <v>15</v>
      </c>
      <c r="E37" s="161" t="s">
        <v>221</v>
      </c>
      <c r="F37" s="35" t="s">
        <v>96</v>
      </c>
      <c r="G37" s="74" t="s">
        <v>82</v>
      </c>
      <c r="H37" s="30" t="s">
        <v>19</v>
      </c>
      <c r="I37" s="31" t="s">
        <v>5</v>
      </c>
      <c r="J37" s="75">
        <v>143803.79999999999</v>
      </c>
      <c r="K37" s="36">
        <v>0</v>
      </c>
      <c r="L37" s="36"/>
    </row>
    <row r="38" spans="1:32" ht="36" customHeight="1" x14ac:dyDescent="0.25">
      <c r="A38" s="47"/>
      <c r="B38" s="47" t="s">
        <v>84</v>
      </c>
      <c r="C38" s="48" t="s">
        <v>77</v>
      </c>
      <c r="D38" s="49" t="s">
        <v>15</v>
      </c>
      <c r="E38" s="149" t="s">
        <v>223</v>
      </c>
      <c r="F38" s="12" t="s">
        <v>92</v>
      </c>
      <c r="G38" s="55" t="s">
        <v>75</v>
      </c>
      <c r="H38" s="9" t="s">
        <v>108</v>
      </c>
      <c r="I38" s="2" t="s">
        <v>5</v>
      </c>
      <c r="J38" s="42">
        <v>415825.29</v>
      </c>
      <c r="K38" s="11">
        <f>130630.45+13894.89</f>
        <v>144525.34</v>
      </c>
      <c r="L38" s="11">
        <f>160617.26+30321.84+130630.45+13894.89</f>
        <v>335464.44</v>
      </c>
      <c r="M38" s="3" t="s">
        <v>332</v>
      </c>
    </row>
    <row r="39" spans="1:32" s="284" customFormat="1" ht="20.399999999999999" x14ac:dyDescent="0.25">
      <c r="A39" s="296"/>
      <c r="B39" s="296" t="s">
        <v>86</v>
      </c>
      <c r="C39" s="297" t="s">
        <v>79</v>
      </c>
      <c r="D39" s="298" t="s">
        <v>15</v>
      </c>
      <c r="E39" s="149" t="s">
        <v>221</v>
      </c>
      <c r="F39" s="289" t="s">
        <v>97</v>
      </c>
      <c r="G39" s="290" t="s">
        <v>102</v>
      </c>
      <c r="H39" s="291" t="s">
        <v>19</v>
      </c>
      <c r="I39" s="285" t="s">
        <v>5</v>
      </c>
      <c r="J39" s="292">
        <v>136000</v>
      </c>
      <c r="K39" s="293">
        <v>0</v>
      </c>
      <c r="L39" s="293">
        <v>165580</v>
      </c>
    </row>
    <row r="40" spans="1:32" s="101" customFormat="1" ht="20.399999999999999" x14ac:dyDescent="0.25">
      <c r="A40" s="123"/>
      <c r="B40" s="123" t="s">
        <v>103</v>
      </c>
      <c r="C40" s="102" t="s">
        <v>81</v>
      </c>
      <c r="D40" s="103" t="s">
        <v>15</v>
      </c>
      <c r="E40" s="149" t="s">
        <v>221</v>
      </c>
      <c r="F40" s="105" t="s">
        <v>98</v>
      </c>
      <c r="G40" s="115" t="s">
        <v>101</v>
      </c>
      <c r="H40" s="104" t="s">
        <v>19</v>
      </c>
      <c r="I40" s="106" t="s">
        <v>5</v>
      </c>
      <c r="J40" s="116">
        <v>78936.240000000005</v>
      </c>
      <c r="K40" s="107">
        <v>0</v>
      </c>
      <c r="L40" s="107">
        <v>78936.240000000005</v>
      </c>
    </row>
    <row r="41" spans="1:32" ht="21" x14ac:dyDescent="0.25">
      <c r="A41" s="47"/>
      <c r="B41" s="47" t="s">
        <v>104</v>
      </c>
      <c r="C41" s="48" t="s">
        <v>83</v>
      </c>
      <c r="D41" s="49" t="s">
        <v>15</v>
      </c>
      <c r="E41" s="149" t="s">
        <v>33</v>
      </c>
      <c r="F41" s="12" t="s">
        <v>93</v>
      </c>
      <c r="G41" s="55" t="s">
        <v>33</v>
      </c>
      <c r="H41" s="9" t="s">
        <v>19</v>
      </c>
      <c r="I41" s="2" t="s">
        <v>5</v>
      </c>
      <c r="J41" s="42">
        <v>0</v>
      </c>
      <c r="K41" s="11">
        <v>0</v>
      </c>
      <c r="L41" s="11">
        <v>0</v>
      </c>
    </row>
    <row r="42" spans="1:32" ht="20.399999999999999" x14ac:dyDescent="0.25">
      <c r="A42" s="47"/>
      <c r="B42" s="47" t="s">
        <v>105</v>
      </c>
      <c r="C42" s="48" t="s">
        <v>85</v>
      </c>
      <c r="D42" s="49" t="s">
        <v>15</v>
      </c>
      <c r="E42" s="149" t="s">
        <v>307</v>
      </c>
      <c r="F42" s="12" t="s">
        <v>99</v>
      </c>
      <c r="G42" s="55" t="s">
        <v>78</v>
      </c>
      <c r="H42" s="9" t="s">
        <v>19</v>
      </c>
      <c r="I42" s="2" t="s">
        <v>5</v>
      </c>
      <c r="J42" s="42">
        <v>144286.32</v>
      </c>
      <c r="K42" s="11">
        <v>0</v>
      </c>
      <c r="L42" s="11">
        <v>24139.85</v>
      </c>
    </row>
    <row r="43" spans="1:32" s="101" customFormat="1" ht="22.5" customHeight="1" x14ac:dyDescent="0.25">
      <c r="A43" s="123"/>
      <c r="B43" s="123" t="s">
        <v>106</v>
      </c>
      <c r="C43" s="102" t="s">
        <v>87</v>
      </c>
      <c r="D43" s="103" t="s">
        <v>15</v>
      </c>
      <c r="E43" s="149" t="s">
        <v>221</v>
      </c>
      <c r="F43" s="105" t="s">
        <v>100</v>
      </c>
      <c r="G43" s="115" t="s">
        <v>80</v>
      </c>
      <c r="H43" s="104" t="s">
        <v>19</v>
      </c>
      <c r="I43" s="106" t="s">
        <v>5</v>
      </c>
      <c r="J43" s="116">
        <v>105993.48</v>
      </c>
      <c r="K43" s="107">
        <v>0</v>
      </c>
      <c r="L43" s="107">
        <v>105993.48</v>
      </c>
    </row>
    <row r="44" spans="1:32" ht="21" x14ac:dyDescent="0.25">
      <c r="A44" s="20"/>
      <c r="B44" s="28" t="s">
        <v>117</v>
      </c>
      <c r="C44" s="50" t="s">
        <v>109</v>
      </c>
      <c r="D44" s="49" t="s">
        <v>15</v>
      </c>
      <c r="E44" s="333" t="s">
        <v>221</v>
      </c>
      <c r="F44" s="19" t="s">
        <v>126</v>
      </c>
      <c r="G44" s="55" t="s">
        <v>123</v>
      </c>
      <c r="H44" s="10" t="s">
        <v>141</v>
      </c>
      <c r="I44" s="2" t="s">
        <v>5</v>
      </c>
      <c r="J44" s="42">
        <v>198768.79</v>
      </c>
      <c r="K44" s="42">
        <v>0</v>
      </c>
      <c r="L44" s="42">
        <f>100349.69+80739.97</f>
        <v>181089.66</v>
      </c>
    </row>
    <row r="45" spans="1:32" ht="51" x14ac:dyDescent="0.25">
      <c r="A45" s="20"/>
      <c r="B45" s="28" t="s">
        <v>145</v>
      </c>
      <c r="C45" s="50" t="s">
        <v>110</v>
      </c>
      <c r="D45" s="49" t="s">
        <v>15</v>
      </c>
      <c r="E45" s="333" t="s">
        <v>48</v>
      </c>
      <c r="F45" s="19" t="s">
        <v>127</v>
      </c>
      <c r="G45" s="55" t="s">
        <v>103</v>
      </c>
      <c r="H45" s="10" t="s">
        <v>142</v>
      </c>
      <c r="I45" s="2" t="s">
        <v>5</v>
      </c>
      <c r="J45" s="11">
        <v>422779.36</v>
      </c>
      <c r="K45" s="11">
        <v>0</v>
      </c>
      <c r="L45" s="11">
        <v>0</v>
      </c>
    </row>
    <row r="46" spans="1:32" ht="20.399999999999999" x14ac:dyDescent="0.25">
      <c r="A46" s="20"/>
      <c r="B46" s="28" t="s">
        <v>123</v>
      </c>
      <c r="C46" s="50" t="s">
        <v>111</v>
      </c>
      <c r="D46" s="49" t="s">
        <v>15</v>
      </c>
      <c r="E46" s="333" t="s">
        <v>29</v>
      </c>
      <c r="F46" s="19" t="s">
        <v>128</v>
      </c>
      <c r="G46" s="55" t="s">
        <v>104</v>
      </c>
      <c r="H46" s="9" t="s">
        <v>108</v>
      </c>
      <c r="I46" s="2" t="s">
        <v>5</v>
      </c>
      <c r="J46" s="56">
        <v>0</v>
      </c>
      <c r="K46" s="42">
        <v>0</v>
      </c>
      <c r="L46" s="42">
        <v>0</v>
      </c>
    </row>
    <row r="47" spans="1:32" ht="36" customHeight="1" x14ac:dyDescent="0.25">
      <c r="A47" s="20"/>
      <c r="B47" s="28" t="s">
        <v>146</v>
      </c>
      <c r="C47" s="50" t="s">
        <v>112</v>
      </c>
      <c r="D47" s="49" t="s">
        <v>15</v>
      </c>
      <c r="E47" s="333" t="s">
        <v>221</v>
      </c>
      <c r="F47" s="19" t="s">
        <v>129</v>
      </c>
      <c r="G47" s="55" t="s">
        <v>84</v>
      </c>
      <c r="H47" s="10" t="s">
        <v>19</v>
      </c>
      <c r="I47" s="2" t="s">
        <v>5</v>
      </c>
      <c r="J47" s="56">
        <v>66514.3</v>
      </c>
      <c r="K47" s="42">
        <v>0</v>
      </c>
      <c r="L47" s="42">
        <v>49793.61</v>
      </c>
    </row>
    <row r="48" spans="1:32" ht="30.6" x14ac:dyDescent="0.25">
      <c r="A48" s="20"/>
      <c r="B48" s="28" t="s">
        <v>147</v>
      </c>
      <c r="C48" s="50" t="s">
        <v>113</v>
      </c>
      <c r="D48" s="49" t="s">
        <v>15</v>
      </c>
      <c r="E48" s="333" t="s">
        <v>223</v>
      </c>
      <c r="F48" s="19" t="s">
        <v>131</v>
      </c>
      <c r="G48" s="55" t="s">
        <v>117</v>
      </c>
      <c r="H48" s="10" t="s">
        <v>19</v>
      </c>
      <c r="I48" s="2" t="s">
        <v>5</v>
      </c>
      <c r="J48" s="56">
        <v>1398895.26</v>
      </c>
      <c r="K48" s="42">
        <f>58825.49+50719.06</f>
        <v>109544.54999999999</v>
      </c>
      <c r="L48" s="42">
        <f>204443.3+293295.41+K48</f>
        <v>607283.26</v>
      </c>
    </row>
    <row r="49" spans="1:20" ht="20.399999999999999" x14ac:dyDescent="0.25">
      <c r="A49" s="20"/>
      <c r="B49" s="28" t="s">
        <v>148</v>
      </c>
      <c r="C49" s="50" t="s">
        <v>114</v>
      </c>
      <c r="D49" s="49" t="s">
        <v>15</v>
      </c>
      <c r="E49" s="333" t="s">
        <v>221</v>
      </c>
      <c r="F49" s="19" t="s">
        <v>132</v>
      </c>
      <c r="G49" s="55" t="s">
        <v>145</v>
      </c>
      <c r="H49" s="10" t="s">
        <v>19</v>
      </c>
      <c r="I49" s="2" t="s">
        <v>5</v>
      </c>
      <c r="J49" s="56">
        <v>291999.84000000003</v>
      </c>
      <c r="K49" s="42">
        <v>0</v>
      </c>
      <c r="L49" s="42">
        <v>279038.71999999997</v>
      </c>
      <c r="N49" s="3">
        <v>100000</v>
      </c>
      <c r="O49" s="3">
        <v>115846.39999999999</v>
      </c>
    </row>
    <row r="50" spans="1:20" ht="20.399999999999999" x14ac:dyDescent="0.25">
      <c r="A50" s="20"/>
      <c r="B50" s="28" t="s">
        <v>149</v>
      </c>
      <c r="C50" s="50" t="s">
        <v>115</v>
      </c>
      <c r="D50" s="49" t="s">
        <v>15</v>
      </c>
      <c r="E50" s="333" t="s">
        <v>221</v>
      </c>
      <c r="F50" s="19" t="s">
        <v>133</v>
      </c>
      <c r="G50" s="55" t="s">
        <v>86</v>
      </c>
      <c r="H50" s="10" t="s">
        <v>19</v>
      </c>
      <c r="I50" s="2" t="s">
        <v>5</v>
      </c>
      <c r="J50" s="56">
        <v>76323.16</v>
      </c>
      <c r="K50" s="42">
        <v>0</v>
      </c>
      <c r="L50" s="42">
        <v>56044.82</v>
      </c>
      <c r="N50" s="3">
        <v>100402.56</v>
      </c>
      <c r="O50" s="3">
        <v>100402.56</v>
      </c>
    </row>
    <row r="51" spans="1:20" s="284" customFormat="1" ht="36" customHeight="1" x14ac:dyDescent="0.25">
      <c r="A51" s="294"/>
      <c r="B51" s="299" t="s">
        <v>150</v>
      </c>
      <c r="C51" s="300" t="s">
        <v>116</v>
      </c>
      <c r="D51" s="298" t="s">
        <v>15</v>
      </c>
      <c r="E51" s="333" t="s">
        <v>221</v>
      </c>
      <c r="F51" s="301" t="s">
        <v>134</v>
      </c>
      <c r="G51" s="290" t="s">
        <v>105</v>
      </c>
      <c r="H51" s="302" t="s">
        <v>19</v>
      </c>
      <c r="I51" s="285" t="s">
        <v>5</v>
      </c>
      <c r="J51" s="303">
        <v>145400</v>
      </c>
      <c r="K51" s="292">
        <v>0</v>
      </c>
      <c r="L51" s="292">
        <v>166157.92000000001</v>
      </c>
    </row>
    <row r="52" spans="1:20" ht="20.399999999999999" x14ac:dyDescent="0.25">
      <c r="A52" s="20"/>
      <c r="B52" s="28" t="s">
        <v>151</v>
      </c>
      <c r="C52" s="50" t="s">
        <v>118</v>
      </c>
      <c r="D52" s="49" t="s">
        <v>144</v>
      </c>
      <c r="E52" s="333" t="s">
        <v>29</v>
      </c>
      <c r="F52" s="19" t="s">
        <v>135</v>
      </c>
      <c r="G52" s="55" t="s">
        <v>106</v>
      </c>
      <c r="H52" s="10" t="s">
        <v>143</v>
      </c>
      <c r="I52" s="2" t="s">
        <v>5</v>
      </c>
      <c r="J52" s="56">
        <v>96399.95</v>
      </c>
      <c r="K52" s="42">
        <v>0</v>
      </c>
      <c r="L52" s="42">
        <v>0</v>
      </c>
    </row>
    <row r="53" spans="1:20" s="284" customFormat="1" ht="20.399999999999999" x14ac:dyDescent="0.25">
      <c r="A53" s="294"/>
      <c r="B53" s="299" t="s">
        <v>152</v>
      </c>
      <c r="C53" s="304" t="s">
        <v>119</v>
      </c>
      <c r="D53" s="298" t="s">
        <v>15</v>
      </c>
      <c r="E53" s="333" t="s">
        <v>221</v>
      </c>
      <c r="F53" s="301" t="s">
        <v>137</v>
      </c>
      <c r="G53" s="290" t="s">
        <v>161</v>
      </c>
      <c r="H53" s="302" t="s">
        <v>19</v>
      </c>
      <c r="I53" s="285" t="s">
        <v>5</v>
      </c>
      <c r="J53" s="303">
        <v>512450.65</v>
      </c>
      <c r="K53" s="292">
        <v>0</v>
      </c>
      <c r="L53" s="292">
        <v>553096.31999999995</v>
      </c>
    </row>
    <row r="54" spans="1:20" ht="36" customHeight="1" x14ac:dyDescent="0.25">
      <c r="A54" s="231"/>
      <c r="B54" s="241" t="s">
        <v>153</v>
      </c>
      <c r="C54" s="276" t="s">
        <v>120</v>
      </c>
      <c r="D54" s="126" t="s">
        <v>15</v>
      </c>
      <c r="E54" s="333" t="s">
        <v>29</v>
      </c>
      <c r="F54" s="234" t="s">
        <v>138</v>
      </c>
      <c r="G54" s="235" t="s">
        <v>204</v>
      </c>
      <c r="H54" s="236" t="s">
        <v>143</v>
      </c>
      <c r="I54" s="237" t="s">
        <v>5</v>
      </c>
      <c r="J54" s="238">
        <v>1991023.52</v>
      </c>
      <c r="K54" s="239">
        <f>57014.08+42469.58</f>
        <v>99483.66</v>
      </c>
      <c r="L54" s="239">
        <f>K54</f>
        <v>99483.66</v>
      </c>
    </row>
    <row r="55" spans="1:20" ht="21" thickBot="1" x14ac:dyDescent="0.3">
      <c r="A55" s="37"/>
      <c r="B55" s="38" t="s">
        <v>154</v>
      </c>
      <c r="C55" s="82" t="s">
        <v>121</v>
      </c>
      <c r="D55" s="78" t="s">
        <v>15</v>
      </c>
      <c r="E55" s="334" t="s">
        <v>221</v>
      </c>
      <c r="F55" s="39" t="s">
        <v>139</v>
      </c>
      <c r="G55" s="79" t="s">
        <v>203</v>
      </c>
      <c r="H55" s="40" t="s">
        <v>19</v>
      </c>
      <c r="I55" s="37" t="s">
        <v>5</v>
      </c>
      <c r="J55" s="83">
        <v>644221.65</v>
      </c>
      <c r="K55" s="41">
        <v>106129.5</v>
      </c>
      <c r="L55" s="41">
        <v>616506</v>
      </c>
    </row>
    <row r="56" spans="1:20" ht="20.399999999999999" x14ac:dyDescent="0.25">
      <c r="A56" s="43"/>
      <c r="B56" s="46" t="s">
        <v>155</v>
      </c>
      <c r="C56" s="80" t="s">
        <v>122</v>
      </c>
      <c r="D56" s="73" t="s">
        <v>15</v>
      </c>
      <c r="E56" s="335" t="s">
        <v>223</v>
      </c>
      <c r="F56" s="44" t="s">
        <v>140</v>
      </c>
      <c r="G56" s="74" t="s">
        <v>208</v>
      </c>
      <c r="H56" s="45" t="s">
        <v>19</v>
      </c>
      <c r="I56" s="31" t="s">
        <v>5</v>
      </c>
      <c r="J56" s="81">
        <v>575834.85</v>
      </c>
      <c r="K56" s="75">
        <v>64398.67</v>
      </c>
      <c r="L56" s="75">
        <v>269618.03999999998</v>
      </c>
    </row>
    <row r="57" spans="1:20" ht="20.399999999999999" x14ac:dyDescent="0.25">
      <c r="A57" s="20"/>
      <c r="B57" s="28" t="s">
        <v>156</v>
      </c>
      <c r="C57" s="51" t="s">
        <v>124</v>
      </c>
      <c r="D57" s="49" t="s">
        <v>15</v>
      </c>
      <c r="E57" s="333" t="s">
        <v>221</v>
      </c>
      <c r="F57" s="19" t="s">
        <v>136</v>
      </c>
      <c r="G57" s="55" t="s">
        <v>202</v>
      </c>
      <c r="H57" s="10" t="s">
        <v>19</v>
      </c>
      <c r="I57" s="2" t="s">
        <v>5</v>
      </c>
      <c r="J57" s="56">
        <v>80297.09</v>
      </c>
      <c r="K57" s="42">
        <v>0</v>
      </c>
      <c r="L57" s="42">
        <v>77329.509999999995</v>
      </c>
    </row>
    <row r="58" spans="1:20" s="284" customFormat="1" ht="27" customHeight="1" thickBot="1" x14ac:dyDescent="0.3">
      <c r="A58" s="294"/>
      <c r="B58" s="299" t="s">
        <v>157</v>
      </c>
      <c r="C58" s="304" t="s">
        <v>125</v>
      </c>
      <c r="D58" s="298" t="s">
        <v>15</v>
      </c>
      <c r="E58" s="333" t="s">
        <v>223</v>
      </c>
      <c r="F58" s="301" t="s">
        <v>130</v>
      </c>
      <c r="G58" s="290" t="s">
        <v>160</v>
      </c>
      <c r="H58" s="302" t="s">
        <v>19</v>
      </c>
      <c r="I58" s="285" t="s">
        <v>5</v>
      </c>
      <c r="J58" s="303">
        <v>581990</v>
      </c>
      <c r="K58" s="292">
        <v>0</v>
      </c>
      <c r="L58" s="292">
        <f>219466.34+50505.99+120000+42438.78+44948.37+45344.25+66005.55+18764.26+77051.54+26787.02</f>
        <v>711312.10000000009</v>
      </c>
      <c r="M58" s="284" t="s">
        <v>334</v>
      </c>
    </row>
    <row r="59" spans="1:20" ht="13.8" thickBot="1" x14ac:dyDescent="0.3">
      <c r="A59" s="20"/>
      <c r="B59" s="28"/>
      <c r="C59" s="22"/>
      <c r="D59" s="29"/>
      <c r="E59" s="333"/>
      <c r="F59" s="903" t="s">
        <v>49</v>
      </c>
      <c r="G59" s="904"/>
      <c r="H59" s="904"/>
      <c r="I59" s="904"/>
      <c r="J59" s="7">
        <f>SUM(J21:J58)</f>
        <v>11584983.950000001</v>
      </c>
      <c r="K59" s="7">
        <f>SUM(K21:K58)</f>
        <v>983007.04</v>
      </c>
      <c r="L59" s="7">
        <f>SUM(L21:L58)</f>
        <v>7105008.9600000009</v>
      </c>
      <c r="N59" s="3">
        <v>49694.080000000002</v>
      </c>
      <c r="O59" s="3">
        <v>49694.080000000002</v>
      </c>
    </row>
    <row r="60" spans="1:20" x14ac:dyDescent="0.25">
      <c r="A60" s="20"/>
      <c r="B60" s="28"/>
      <c r="C60" s="22"/>
      <c r="D60" s="29"/>
      <c r="E60" s="333"/>
      <c r="F60" s="19"/>
      <c r="G60" s="10"/>
      <c r="H60" s="10"/>
      <c r="I60" s="25"/>
      <c r="J60" s="42"/>
      <c r="K60" s="42"/>
      <c r="L60" s="42"/>
      <c r="N60" s="3">
        <v>20883.2</v>
      </c>
      <c r="O60" s="3">
        <v>13095.68</v>
      </c>
    </row>
    <row r="61" spans="1:20" ht="13.8" thickBot="1" x14ac:dyDescent="0.3">
      <c r="A61" s="20"/>
      <c r="B61" s="28"/>
      <c r="C61" s="22"/>
      <c r="D61" s="29"/>
      <c r="E61" s="333"/>
      <c r="F61" s="19"/>
      <c r="G61" s="10"/>
      <c r="H61" s="10"/>
      <c r="I61" s="25"/>
      <c r="J61" s="42"/>
      <c r="K61" s="42"/>
      <c r="L61" s="42"/>
      <c r="N61" s="3">
        <f>SUM(N49:N60)</f>
        <v>270979.84000000003</v>
      </c>
      <c r="O61" s="3">
        <f>SUM(O49:O60)</f>
        <v>279038.71999999997</v>
      </c>
    </row>
    <row r="62" spans="1:20" s="179" customFormat="1" ht="13.8" thickBot="1" x14ac:dyDescent="0.3">
      <c r="A62" s="206"/>
      <c r="B62" s="207"/>
      <c r="C62" s="208" t="s">
        <v>176</v>
      </c>
      <c r="D62" s="209"/>
      <c r="E62" s="132"/>
      <c r="F62" s="209"/>
      <c r="G62" s="209"/>
      <c r="H62" s="209"/>
      <c r="I62" s="210"/>
      <c r="J62" s="211"/>
      <c r="K62" s="211"/>
      <c r="L62" s="211"/>
    </row>
    <row r="63" spans="1:20" s="129" customFormat="1" ht="30.6" x14ac:dyDescent="0.25">
      <c r="A63" s="142">
        <v>1</v>
      </c>
      <c r="B63" s="134" t="s">
        <v>202</v>
      </c>
      <c r="C63" s="135" t="s">
        <v>158</v>
      </c>
      <c r="D63" s="136" t="s">
        <v>15</v>
      </c>
      <c r="E63" s="146" t="s">
        <v>4</v>
      </c>
      <c r="F63" s="144" t="s">
        <v>169</v>
      </c>
      <c r="G63" s="147" t="s">
        <v>205</v>
      </c>
      <c r="H63" s="131" t="s">
        <v>19</v>
      </c>
      <c r="I63" s="138" t="s">
        <v>5</v>
      </c>
      <c r="J63" s="148">
        <v>146404.29999999999</v>
      </c>
      <c r="K63" s="109">
        <v>0</v>
      </c>
      <c r="L63" s="109">
        <f>77205.67+58828.66+7128.34</f>
        <v>143162.67000000001</v>
      </c>
      <c r="T63" s="129">
        <v>77205.67</v>
      </c>
    </row>
    <row r="64" spans="1:20" s="124" customFormat="1" ht="21" x14ac:dyDescent="0.25">
      <c r="A64" s="231">
        <v>2</v>
      </c>
      <c r="B64" s="232" t="s">
        <v>161</v>
      </c>
      <c r="C64" s="233" t="s">
        <v>159</v>
      </c>
      <c r="D64" s="126" t="s">
        <v>15</v>
      </c>
      <c r="E64" s="146" t="s">
        <v>4</v>
      </c>
      <c r="F64" s="234" t="s">
        <v>170</v>
      </c>
      <c r="G64" s="235" t="s">
        <v>209</v>
      </c>
      <c r="H64" s="236" t="s">
        <v>19</v>
      </c>
      <c r="I64" s="237" t="s">
        <v>5</v>
      </c>
      <c r="J64" s="238">
        <v>565499.46</v>
      </c>
      <c r="K64" s="239">
        <f>134392.12+102359.99</f>
        <v>236752.11</v>
      </c>
      <c r="L64" s="239">
        <f>31595.11+38011.76+90102.37+57572.87+66023.57+134392.12+102359.99</f>
        <v>520057.79</v>
      </c>
      <c r="M64" s="124" t="s">
        <v>330</v>
      </c>
      <c r="T64" s="124">
        <v>58828.66</v>
      </c>
    </row>
    <row r="65" spans="1:31" s="129" customFormat="1" ht="30.6" x14ac:dyDescent="0.25">
      <c r="A65" s="142">
        <v>3</v>
      </c>
      <c r="B65" s="141" t="s">
        <v>203</v>
      </c>
      <c r="C65" s="135" t="s">
        <v>162</v>
      </c>
      <c r="D65" s="136" t="s">
        <v>15</v>
      </c>
      <c r="E65" s="146" t="s">
        <v>4</v>
      </c>
      <c r="F65" s="144" t="s">
        <v>171</v>
      </c>
      <c r="G65" s="147" t="s">
        <v>163</v>
      </c>
      <c r="H65" s="131" t="s">
        <v>19</v>
      </c>
      <c r="I65" s="138" t="s">
        <v>5</v>
      </c>
      <c r="J65" s="148">
        <v>406549.35</v>
      </c>
      <c r="K65" s="109">
        <v>0</v>
      </c>
      <c r="L65" s="109">
        <v>278302.90999999997</v>
      </c>
    </row>
    <row r="66" spans="1:31" s="129" customFormat="1" ht="21" x14ac:dyDescent="0.25">
      <c r="A66" s="142">
        <v>4</v>
      </c>
      <c r="B66" s="141" t="s">
        <v>204</v>
      </c>
      <c r="C66" s="135" t="s">
        <v>164</v>
      </c>
      <c r="D66" s="136" t="s">
        <v>15</v>
      </c>
      <c r="E66" s="146" t="s">
        <v>4</v>
      </c>
      <c r="F66" s="144" t="s">
        <v>172</v>
      </c>
      <c r="G66" s="147" t="s">
        <v>166</v>
      </c>
      <c r="H66" s="131" t="s">
        <v>19</v>
      </c>
      <c r="I66" s="138" t="s">
        <v>5</v>
      </c>
      <c r="J66" s="148">
        <v>515205.55</v>
      </c>
      <c r="K66" s="109">
        <f>20000+10000+30000</f>
        <v>60000</v>
      </c>
      <c r="L66" s="109">
        <f>73928.78+99740.8+80456.54+100000+60000+30000+20000+10000+30000</f>
        <v>504126.12</v>
      </c>
      <c r="M66" s="129" t="s">
        <v>332</v>
      </c>
    </row>
    <row r="67" spans="1:31" s="129" customFormat="1" ht="27" customHeight="1" x14ac:dyDescent="0.25">
      <c r="A67" s="142">
        <v>5</v>
      </c>
      <c r="B67" s="141" t="s">
        <v>205</v>
      </c>
      <c r="C67" s="135" t="s">
        <v>165</v>
      </c>
      <c r="D67" s="136" t="s">
        <v>15</v>
      </c>
      <c r="E67" s="146" t="s">
        <v>33</v>
      </c>
      <c r="F67" s="144" t="s">
        <v>173</v>
      </c>
      <c r="G67" s="147" t="s">
        <v>33</v>
      </c>
      <c r="H67" s="131" t="s">
        <v>107</v>
      </c>
      <c r="I67" s="138" t="s">
        <v>5</v>
      </c>
      <c r="J67" s="148">
        <v>3278769.45</v>
      </c>
      <c r="K67" s="109"/>
      <c r="L67" s="109">
        <f>665499.85+721758.03+K67</f>
        <v>1387257.88</v>
      </c>
      <c r="M67" s="129" t="s">
        <v>333</v>
      </c>
    </row>
    <row r="68" spans="1:31" s="129" customFormat="1" ht="21" x14ac:dyDescent="0.25">
      <c r="A68" s="142">
        <v>6</v>
      </c>
      <c r="B68" s="141" t="s">
        <v>206</v>
      </c>
      <c r="C68" s="135" t="s">
        <v>167</v>
      </c>
      <c r="D68" s="136" t="s">
        <v>15</v>
      </c>
      <c r="E68" s="146" t="s">
        <v>33</v>
      </c>
      <c r="F68" s="144" t="s">
        <v>174</v>
      </c>
      <c r="G68" s="147" t="s">
        <v>33</v>
      </c>
      <c r="H68" s="131" t="s">
        <v>107</v>
      </c>
      <c r="I68" s="138" t="s">
        <v>5</v>
      </c>
      <c r="J68" s="148">
        <v>1210473.75</v>
      </c>
      <c r="K68" s="109">
        <v>0</v>
      </c>
      <c r="L68" s="109">
        <v>0</v>
      </c>
    </row>
    <row r="69" spans="1:31" s="129" customFormat="1" x14ac:dyDescent="0.25">
      <c r="A69" s="266"/>
      <c r="B69" s="267"/>
      <c r="C69" s="265"/>
      <c r="D69" s="268"/>
      <c r="E69" s="146"/>
      <c r="F69" s="269" t="s">
        <v>574</v>
      </c>
      <c r="G69" s="270"/>
      <c r="H69" s="271"/>
      <c r="I69" s="272"/>
      <c r="J69" s="273"/>
      <c r="K69" s="181">
        <v>81557.56</v>
      </c>
      <c r="L69" s="181"/>
    </row>
    <row r="70" spans="1:31" s="129" customFormat="1" ht="27" customHeight="1" x14ac:dyDescent="0.25">
      <c r="A70" s="231">
        <v>12</v>
      </c>
      <c r="B70" s="125" t="s">
        <v>185</v>
      </c>
      <c r="C70" s="233" t="s">
        <v>168</v>
      </c>
      <c r="D70" s="126" t="s">
        <v>15</v>
      </c>
      <c r="E70" s="146" t="s">
        <v>4</v>
      </c>
      <c r="F70" s="234" t="s">
        <v>175</v>
      </c>
      <c r="G70" s="235" t="s">
        <v>207</v>
      </c>
      <c r="H70" s="236" t="s">
        <v>19</v>
      </c>
      <c r="I70" s="237" t="s">
        <v>5</v>
      </c>
      <c r="J70" s="238">
        <v>716656.46</v>
      </c>
      <c r="K70" s="239">
        <v>50000</v>
      </c>
      <c r="L70" s="239">
        <f>77887.73+214146.92+64876.64+38305.93+200000+50000</f>
        <v>645217.22</v>
      </c>
      <c r="M70" s="129" t="s">
        <v>335</v>
      </c>
      <c r="N70" s="150"/>
    </row>
    <row r="71" spans="1:31" s="151" customFormat="1" ht="22.5" customHeight="1" x14ac:dyDescent="0.25">
      <c r="A71" s="149">
        <v>15</v>
      </c>
      <c r="B71" s="149" t="s">
        <v>207</v>
      </c>
      <c r="C71" s="135" t="s">
        <v>178</v>
      </c>
      <c r="D71" s="136" t="s">
        <v>15</v>
      </c>
      <c r="E71" s="140" t="s">
        <v>221</v>
      </c>
      <c r="F71" s="144" t="s">
        <v>189</v>
      </c>
      <c r="G71" s="147" t="s">
        <v>217</v>
      </c>
      <c r="H71" s="131" t="s">
        <v>19</v>
      </c>
      <c r="I71" s="138" t="s">
        <v>5</v>
      </c>
      <c r="J71" s="148">
        <v>85711.11</v>
      </c>
      <c r="K71" s="109">
        <v>30905.58</v>
      </c>
      <c r="L71" s="109">
        <f>19069.78+6607.37+30905.58</f>
        <v>56582.729999999996</v>
      </c>
      <c r="M71" s="151" t="s">
        <v>334</v>
      </c>
      <c r="N71" s="129"/>
      <c r="O71" s="129"/>
      <c r="P71" s="129"/>
      <c r="Q71" s="129"/>
      <c r="R71" s="129"/>
      <c r="S71" s="129"/>
      <c r="T71" s="129"/>
      <c r="U71" s="129"/>
      <c r="V71" s="129"/>
      <c r="W71" s="129"/>
      <c r="X71" s="129"/>
      <c r="Y71" s="129"/>
      <c r="Z71" s="129"/>
      <c r="AA71" s="129"/>
      <c r="AB71" s="129"/>
      <c r="AC71" s="129"/>
      <c r="AD71" s="129"/>
      <c r="AE71" s="129"/>
    </row>
    <row r="72" spans="1:31" s="151" customFormat="1" ht="21" thickBot="1" x14ac:dyDescent="0.3">
      <c r="A72" s="152">
        <v>16</v>
      </c>
      <c r="B72" s="152" t="s">
        <v>208</v>
      </c>
      <c r="C72" s="153" t="s">
        <v>179</v>
      </c>
      <c r="D72" s="154" t="s">
        <v>15</v>
      </c>
      <c r="E72" s="155" t="s">
        <v>223</v>
      </c>
      <c r="F72" s="156" t="s">
        <v>190</v>
      </c>
      <c r="G72" s="157" t="s">
        <v>210</v>
      </c>
      <c r="H72" s="158" t="s">
        <v>19</v>
      </c>
      <c r="I72" s="159" t="s">
        <v>5</v>
      </c>
      <c r="J72" s="263">
        <v>620802.39</v>
      </c>
      <c r="K72" s="264">
        <f>39907.18+31326.82+41493.81+33670.2+46870.99+59457.62+20000+10000</f>
        <v>282726.62</v>
      </c>
      <c r="L72" s="99">
        <f>42440.37+90251.05+50827.03+38975.56+39907.18+31326.82+31326.82+41493.81+33670.2+46870.99+59457.62+20000</f>
        <v>526547.44999999995</v>
      </c>
      <c r="M72" s="151" t="s">
        <v>334</v>
      </c>
      <c r="N72" s="129"/>
      <c r="O72" s="129"/>
      <c r="P72" s="129"/>
      <c r="Q72" s="129"/>
      <c r="R72" s="129"/>
      <c r="S72" s="129"/>
      <c r="T72" s="129"/>
      <c r="U72" s="129"/>
      <c r="V72" s="129"/>
      <c r="W72" s="129"/>
      <c r="X72" s="129"/>
      <c r="Y72" s="129"/>
      <c r="Z72" s="129"/>
      <c r="AA72" s="129"/>
      <c r="AB72" s="129"/>
      <c r="AC72" s="129"/>
      <c r="AD72" s="129"/>
      <c r="AE72" s="129"/>
    </row>
    <row r="73" spans="1:31" s="151" customFormat="1" ht="20.399999999999999" x14ac:dyDescent="0.25">
      <c r="A73" s="161">
        <v>17</v>
      </c>
      <c r="B73" s="161" t="s">
        <v>209</v>
      </c>
      <c r="C73" s="162" t="s">
        <v>180</v>
      </c>
      <c r="D73" s="163" t="s">
        <v>15</v>
      </c>
      <c r="E73" s="164" t="s">
        <v>223</v>
      </c>
      <c r="F73" s="165" t="s">
        <v>191</v>
      </c>
      <c r="G73" s="166" t="s">
        <v>211</v>
      </c>
      <c r="H73" s="167" t="s">
        <v>19</v>
      </c>
      <c r="I73" s="133" t="s">
        <v>5</v>
      </c>
      <c r="J73" s="168">
        <v>240060.01</v>
      </c>
      <c r="K73" s="169">
        <f>30732.91</f>
        <v>30732.91</v>
      </c>
      <c r="L73" s="169">
        <f>128149.62+30732.91+52411.3+21192.55</f>
        <v>232486.38</v>
      </c>
      <c r="M73" s="151" t="s">
        <v>338</v>
      </c>
      <c r="N73" s="129"/>
      <c r="O73" s="129"/>
      <c r="P73" s="129"/>
      <c r="Q73" s="129"/>
      <c r="R73" s="129"/>
      <c r="S73" s="129"/>
      <c r="T73" s="129"/>
      <c r="U73" s="129"/>
      <c r="V73" s="129"/>
      <c r="W73" s="129"/>
      <c r="X73" s="129"/>
      <c r="Y73" s="129"/>
      <c r="Z73" s="129"/>
      <c r="AA73" s="129"/>
      <c r="AB73" s="129"/>
      <c r="AC73" s="129"/>
      <c r="AD73" s="129"/>
      <c r="AE73" s="129"/>
    </row>
    <row r="74" spans="1:31" s="151" customFormat="1" ht="21" x14ac:dyDescent="0.25">
      <c r="A74" s="149">
        <v>19</v>
      </c>
      <c r="B74" s="149" t="s">
        <v>211</v>
      </c>
      <c r="C74" s="170" t="s">
        <v>181</v>
      </c>
      <c r="D74" s="136" t="s">
        <v>15</v>
      </c>
      <c r="E74" s="140" t="s">
        <v>33</v>
      </c>
      <c r="F74" s="144" t="s">
        <v>192</v>
      </c>
      <c r="G74" s="147" t="s">
        <v>33</v>
      </c>
      <c r="H74" s="131" t="s">
        <v>199</v>
      </c>
      <c r="I74" s="138" t="s">
        <v>5</v>
      </c>
      <c r="J74" s="148">
        <v>0</v>
      </c>
      <c r="K74" s="109">
        <f>89274+72132.63+113499.16+11349.91</f>
        <v>286255.7</v>
      </c>
      <c r="L74" s="109">
        <f>K74</f>
        <v>286255.7</v>
      </c>
      <c r="M74" s="151" t="s">
        <v>336</v>
      </c>
      <c r="N74" s="129"/>
      <c r="O74" s="129"/>
      <c r="P74" s="129"/>
      <c r="Q74" s="129"/>
      <c r="R74" s="129"/>
      <c r="S74" s="129"/>
      <c r="T74" s="129"/>
      <c r="U74" s="129"/>
      <c r="V74" s="129"/>
      <c r="W74" s="129"/>
      <c r="X74" s="129"/>
      <c r="Y74" s="129"/>
      <c r="Z74" s="129"/>
      <c r="AA74" s="129"/>
      <c r="AB74" s="129"/>
      <c r="AC74" s="129"/>
      <c r="AD74" s="129"/>
      <c r="AE74" s="129"/>
    </row>
    <row r="75" spans="1:31" s="151" customFormat="1" ht="30.6" x14ac:dyDescent="0.25">
      <c r="A75" s="149">
        <v>20</v>
      </c>
      <c r="B75" s="149" t="s">
        <v>212</v>
      </c>
      <c r="C75" s="170" t="s">
        <v>182</v>
      </c>
      <c r="D75" s="136" t="s">
        <v>15</v>
      </c>
      <c r="E75" s="140" t="s">
        <v>4</v>
      </c>
      <c r="F75" s="144" t="s">
        <v>193</v>
      </c>
      <c r="G75" s="147" t="s">
        <v>212</v>
      </c>
      <c r="H75" s="131" t="s">
        <v>19</v>
      </c>
      <c r="I75" s="138" t="s">
        <v>5</v>
      </c>
      <c r="J75" s="148">
        <v>695065.77</v>
      </c>
      <c r="K75" s="109">
        <v>80453.09</v>
      </c>
      <c r="L75" s="109">
        <f>248226.69+154303.93+93773.65+82027.45+26797.13+80453.09</f>
        <v>685581.94</v>
      </c>
      <c r="N75" s="129"/>
      <c r="O75" s="129"/>
      <c r="P75" s="129"/>
      <c r="Q75" s="129"/>
      <c r="R75" s="129"/>
      <c r="S75" s="129"/>
      <c r="T75" s="129"/>
      <c r="U75" s="129"/>
      <c r="V75" s="129"/>
      <c r="W75" s="129"/>
      <c r="X75" s="129"/>
      <c r="Y75" s="129"/>
      <c r="Z75" s="129"/>
      <c r="AA75" s="129"/>
      <c r="AB75" s="129"/>
      <c r="AC75" s="129"/>
      <c r="AD75" s="129"/>
      <c r="AE75" s="129"/>
    </row>
    <row r="76" spans="1:31" s="151" customFormat="1" ht="20.399999999999999" x14ac:dyDescent="0.25">
      <c r="A76" s="149">
        <v>21</v>
      </c>
      <c r="B76" s="149" t="s">
        <v>213</v>
      </c>
      <c r="C76" s="171" t="s">
        <v>183</v>
      </c>
      <c r="D76" s="136" t="s">
        <v>15</v>
      </c>
      <c r="E76" s="140" t="s">
        <v>222</v>
      </c>
      <c r="F76" s="144" t="s">
        <v>194</v>
      </c>
      <c r="G76" s="147" t="s">
        <v>218</v>
      </c>
      <c r="H76" s="131" t="s">
        <v>19</v>
      </c>
      <c r="I76" s="138" t="s">
        <v>5</v>
      </c>
      <c r="J76" s="148">
        <v>142137.94</v>
      </c>
      <c r="K76" s="109">
        <f>6000+7739.43</f>
        <v>13739.43</v>
      </c>
      <c r="L76" s="109">
        <f>62443.74+K76</f>
        <v>76183.17</v>
      </c>
      <c r="M76" s="151" t="s">
        <v>340</v>
      </c>
      <c r="N76" s="129"/>
      <c r="O76" s="129"/>
      <c r="P76" s="129"/>
      <c r="Q76" s="129"/>
      <c r="R76" s="129"/>
      <c r="S76" s="129"/>
      <c r="T76" s="129"/>
      <c r="U76" s="129"/>
      <c r="V76" s="129"/>
      <c r="W76" s="129"/>
      <c r="X76" s="129"/>
      <c r="Y76" s="129"/>
      <c r="Z76" s="129"/>
      <c r="AA76" s="129"/>
      <c r="AB76" s="129"/>
      <c r="AC76" s="129"/>
      <c r="AD76" s="129"/>
      <c r="AE76" s="129"/>
    </row>
    <row r="77" spans="1:31" s="151" customFormat="1" ht="31.2" x14ac:dyDescent="0.25">
      <c r="A77" s="149">
        <v>24</v>
      </c>
      <c r="B77" s="143" t="s">
        <v>216</v>
      </c>
      <c r="C77" s="172" t="s">
        <v>184</v>
      </c>
      <c r="D77" s="136" t="s">
        <v>15</v>
      </c>
      <c r="E77" s="140" t="s">
        <v>222</v>
      </c>
      <c r="F77" s="144" t="s">
        <v>195</v>
      </c>
      <c r="G77" s="147" t="s">
        <v>214</v>
      </c>
      <c r="H77" s="131" t="s">
        <v>19</v>
      </c>
      <c r="I77" s="138" t="s">
        <v>5</v>
      </c>
      <c r="J77" s="148">
        <v>145098.9</v>
      </c>
      <c r="K77" s="109">
        <v>0</v>
      </c>
      <c r="L77" s="109">
        <f>25065.05+16258.04+30686.19+25514.6</f>
        <v>97523.88</v>
      </c>
      <c r="N77" s="129"/>
      <c r="O77" s="129"/>
      <c r="P77" s="129"/>
      <c r="Q77" s="129"/>
      <c r="R77" s="129"/>
      <c r="S77" s="129"/>
      <c r="T77" s="129"/>
      <c r="U77" s="129"/>
      <c r="V77" s="129"/>
      <c r="W77" s="129"/>
      <c r="X77" s="129"/>
      <c r="Y77" s="129"/>
      <c r="Z77" s="129"/>
      <c r="AA77" s="129"/>
      <c r="AB77" s="129"/>
      <c r="AC77" s="129"/>
      <c r="AD77" s="129"/>
      <c r="AE77" s="129"/>
    </row>
    <row r="78" spans="1:31" s="151" customFormat="1" ht="36" customHeight="1" x14ac:dyDescent="0.25">
      <c r="A78" s="149">
        <v>25</v>
      </c>
      <c r="B78" s="143" t="s">
        <v>217</v>
      </c>
      <c r="C78" s="172" t="s">
        <v>186</v>
      </c>
      <c r="D78" s="136" t="s">
        <v>15</v>
      </c>
      <c r="E78" s="140" t="s">
        <v>222</v>
      </c>
      <c r="F78" s="144" t="s">
        <v>196</v>
      </c>
      <c r="G78" s="147" t="s">
        <v>215</v>
      </c>
      <c r="H78" s="131" t="s">
        <v>19</v>
      </c>
      <c r="I78" s="138" t="s">
        <v>5</v>
      </c>
      <c r="J78" s="148">
        <v>134414.35</v>
      </c>
      <c r="K78" s="109">
        <v>0</v>
      </c>
      <c r="L78" s="109">
        <f>15209.2+24831.26+24681.67+3405+17509.41</f>
        <v>85636.540000000008</v>
      </c>
      <c r="N78" s="129"/>
      <c r="O78" s="129"/>
      <c r="P78" s="129"/>
      <c r="Q78" s="129"/>
      <c r="R78" s="129"/>
      <c r="S78" s="129"/>
      <c r="T78" s="129"/>
      <c r="U78" s="129"/>
      <c r="V78" s="129"/>
      <c r="W78" s="129"/>
      <c r="X78" s="129"/>
      <c r="Y78" s="129"/>
      <c r="Z78" s="129"/>
      <c r="AA78" s="129"/>
      <c r="AB78" s="129"/>
      <c r="AC78" s="129"/>
      <c r="AD78" s="129"/>
      <c r="AE78" s="129"/>
    </row>
    <row r="79" spans="1:31" s="151" customFormat="1" ht="21" x14ac:dyDescent="0.25">
      <c r="A79" s="149">
        <v>26</v>
      </c>
      <c r="B79" s="143" t="s">
        <v>218</v>
      </c>
      <c r="C79" s="172" t="s">
        <v>187</v>
      </c>
      <c r="D79" s="136" t="s">
        <v>15</v>
      </c>
      <c r="E79" s="149" t="s">
        <v>222</v>
      </c>
      <c r="F79" s="144" t="s">
        <v>197</v>
      </c>
      <c r="G79" s="147" t="s">
        <v>216</v>
      </c>
      <c r="H79" s="131" t="s">
        <v>19</v>
      </c>
      <c r="I79" s="138" t="s">
        <v>5</v>
      </c>
      <c r="J79" s="148">
        <v>116848.26</v>
      </c>
      <c r="K79" s="109">
        <v>0</v>
      </c>
      <c r="L79" s="109">
        <f>87012.48+12979.18+16856.06+28155.21</f>
        <v>145002.93</v>
      </c>
      <c r="N79" s="129"/>
      <c r="O79" s="129"/>
      <c r="P79" s="129"/>
      <c r="Q79" s="129"/>
      <c r="R79" s="129"/>
      <c r="S79" s="129"/>
      <c r="T79" s="129"/>
      <c r="U79" s="129"/>
      <c r="V79" s="129"/>
      <c r="W79" s="129"/>
      <c r="X79" s="129"/>
      <c r="Y79" s="129"/>
      <c r="Z79" s="129"/>
      <c r="AA79" s="129"/>
      <c r="AB79" s="129"/>
      <c r="AC79" s="129"/>
      <c r="AD79" s="129"/>
      <c r="AE79" s="129"/>
    </row>
    <row r="80" spans="1:31" s="151" customFormat="1" ht="31.2" x14ac:dyDescent="0.25">
      <c r="A80" s="149">
        <v>27</v>
      </c>
      <c r="B80" s="143" t="s">
        <v>219</v>
      </c>
      <c r="C80" s="172" t="s">
        <v>188</v>
      </c>
      <c r="D80" s="136" t="s">
        <v>15</v>
      </c>
      <c r="E80" s="140" t="s">
        <v>222</v>
      </c>
      <c r="F80" s="144" t="s">
        <v>198</v>
      </c>
      <c r="G80" s="147" t="s">
        <v>220</v>
      </c>
      <c r="H80" s="131" t="s">
        <v>19</v>
      </c>
      <c r="I80" s="138" t="s">
        <v>5</v>
      </c>
      <c r="J80" s="148">
        <v>492023.76</v>
      </c>
      <c r="K80" s="109">
        <f>52708.1+52708.1+112601.28+112999.2</f>
        <v>331016.68</v>
      </c>
      <c r="L80" s="109">
        <f>300592.98+58579.58</f>
        <v>359172.56</v>
      </c>
      <c r="M80" s="151" t="s">
        <v>305</v>
      </c>
      <c r="N80" s="129"/>
      <c r="O80" s="129"/>
      <c r="P80" s="129"/>
      <c r="Q80" s="129"/>
      <c r="R80" s="129"/>
      <c r="S80" s="129"/>
      <c r="T80" s="129"/>
      <c r="U80" s="129"/>
      <c r="V80" s="129"/>
      <c r="W80" s="129"/>
      <c r="X80" s="129"/>
      <c r="Y80" s="129"/>
      <c r="Z80" s="129"/>
      <c r="AA80" s="129"/>
      <c r="AB80" s="129"/>
      <c r="AC80" s="129"/>
      <c r="AD80" s="129"/>
      <c r="AE80" s="129"/>
    </row>
    <row r="81" spans="1:31" s="151" customFormat="1" x14ac:dyDescent="0.25">
      <c r="A81" s="173"/>
      <c r="B81" s="143"/>
      <c r="C81" s="172"/>
      <c r="D81" s="136"/>
      <c r="E81" s="140"/>
      <c r="F81" s="144" t="s">
        <v>572</v>
      </c>
      <c r="G81" s="178"/>
      <c r="H81" s="131"/>
      <c r="I81" s="138"/>
      <c r="J81" s="240"/>
      <c r="K81" s="109">
        <f>35686.81+16041.8+37727.51+30527.68</f>
        <v>119983.79999999999</v>
      </c>
      <c r="L81" s="109"/>
      <c r="N81" s="129"/>
      <c r="O81" s="129"/>
      <c r="P81" s="129"/>
      <c r="Q81" s="129"/>
      <c r="R81" s="129"/>
      <c r="S81" s="129"/>
      <c r="T81" s="129"/>
      <c r="U81" s="129"/>
      <c r="V81" s="129"/>
      <c r="W81" s="129"/>
      <c r="X81" s="129"/>
      <c r="Y81" s="129"/>
      <c r="Z81" s="129"/>
      <c r="AA81" s="129"/>
      <c r="AB81" s="129"/>
      <c r="AC81" s="129"/>
      <c r="AD81" s="129"/>
      <c r="AE81" s="129"/>
    </row>
    <row r="82" spans="1:31" s="151" customFormat="1" ht="21" x14ac:dyDescent="0.25">
      <c r="A82" s="173">
        <v>29</v>
      </c>
      <c r="B82" s="143" t="s">
        <v>246</v>
      </c>
      <c r="C82" s="172" t="s">
        <v>224</v>
      </c>
      <c r="D82" s="136" t="s">
        <v>15</v>
      </c>
      <c r="E82" s="140" t="s">
        <v>48</v>
      </c>
      <c r="F82" s="144" t="s">
        <v>245</v>
      </c>
      <c r="G82" s="137" t="s">
        <v>276</v>
      </c>
      <c r="H82" s="137" t="s">
        <v>225</v>
      </c>
      <c r="I82" s="138" t="s">
        <v>5</v>
      </c>
      <c r="J82" s="100">
        <v>658752.86</v>
      </c>
      <c r="K82" s="100">
        <f>60059.3+32662.22+55658.41+35341.49</f>
        <v>183721.41999999998</v>
      </c>
      <c r="L82" s="100">
        <f>142917.14+60059.3+32662.22+55658.41+35341.49</f>
        <v>326638.56</v>
      </c>
      <c r="M82" s="151" t="s">
        <v>337</v>
      </c>
      <c r="N82" s="129"/>
      <c r="O82" s="129"/>
      <c r="P82" s="129"/>
      <c r="Q82" s="129"/>
      <c r="R82" s="129"/>
      <c r="S82" s="129"/>
      <c r="T82" s="129"/>
      <c r="U82" s="129"/>
      <c r="V82" s="129"/>
      <c r="W82" s="129"/>
      <c r="X82" s="129"/>
      <c r="Y82" s="129"/>
      <c r="Z82" s="129"/>
      <c r="AA82" s="129"/>
      <c r="AB82" s="129"/>
      <c r="AC82" s="129"/>
      <c r="AD82" s="129"/>
      <c r="AE82" s="129"/>
    </row>
    <row r="83" spans="1:31" s="151" customFormat="1" x14ac:dyDescent="0.25">
      <c r="A83" s="173"/>
      <c r="B83" s="143"/>
      <c r="C83" s="172"/>
      <c r="D83" s="136"/>
      <c r="E83" s="140"/>
      <c r="F83" s="144" t="s">
        <v>379</v>
      </c>
      <c r="G83" s="137"/>
      <c r="H83" s="137"/>
      <c r="I83" s="138"/>
      <c r="J83" s="100"/>
      <c r="K83" s="100">
        <f>16320+16320+17000+10200+27200+4760</f>
        <v>91800</v>
      </c>
      <c r="L83" s="100">
        <f>K83</f>
        <v>91800</v>
      </c>
      <c r="M83" s="151" t="s">
        <v>343</v>
      </c>
      <c r="N83" s="129"/>
      <c r="O83" s="129"/>
      <c r="P83" s="129"/>
      <c r="Q83" s="129"/>
      <c r="R83" s="129"/>
      <c r="S83" s="129"/>
      <c r="T83" s="129"/>
      <c r="U83" s="129"/>
      <c r="V83" s="129"/>
      <c r="W83" s="129"/>
      <c r="X83" s="129"/>
      <c r="Y83" s="129"/>
      <c r="Z83" s="129"/>
      <c r="AA83" s="129"/>
      <c r="AB83" s="129"/>
      <c r="AC83" s="129"/>
      <c r="AD83" s="129"/>
      <c r="AE83" s="129"/>
    </row>
    <row r="84" spans="1:31" s="151" customFormat="1" ht="20.399999999999999" x14ac:dyDescent="0.25">
      <c r="A84" s="173">
        <v>31</v>
      </c>
      <c r="B84" s="143" t="s">
        <v>253</v>
      </c>
      <c r="C84" s="170" t="s">
        <v>226</v>
      </c>
      <c r="D84" s="136" t="s">
        <v>15</v>
      </c>
      <c r="E84" s="140" t="s">
        <v>48</v>
      </c>
      <c r="F84" s="144" t="s">
        <v>247</v>
      </c>
      <c r="G84" s="137" t="s">
        <v>277</v>
      </c>
      <c r="H84" s="137" t="s">
        <v>225</v>
      </c>
      <c r="I84" s="138" t="s">
        <v>5</v>
      </c>
      <c r="J84" s="100">
        <v>34899.919999999998</v>
      </c>
      <c r="K84" s="100">
        <v>0</v>
      </c>
      <c r="L84" s="100">
        <v>19946.169999999998</v>
      </c>
      <c r="N84" s="129"/>
      <c r="O84" s="129"/>
      <c r="P84" s="129"/>
      <c r="Q84" s="129"/>
      <c r="R84" s="129"/>
      <c r="S84" s="129"/>
      <c r="T84" s="129"/>
      <c r="U84" s="129"/>
      <c r="V84" s="129"/>
      <c r="W84" s="129"/>
      <c r="X84" s="129"/>
      <c r="Y84" s="129"/>
      <c r="Z84" s="129"/>
      <c r="AA84" s="129"/>
      <c r="AB84" s="129"/>
      <c r="AC84" s="129"/>
      <c r="AD84" s="129"/>
      <c r="AE84" s="129"/>
    </row>
    <row r="85" spans="1:31" s="151" customFormat="1" ht="27" customHeight="1" x14ac:dyDescent="0.25">
      <c r="A85" s="173">
        <v>32</v>
      </c>
      <c r="B85" s="143" t="s">
        <v>254</v>
      </c>
      <c r="C85" s="172" t="s">
        <v>227</v>
      </c>
      <c r="D85" s="136" t="s">
        <v>15</v>
      </c>
      <c r="E85" s="140" t="s">
        <v>48</v>
      </c>
      <c r="F85" s="144" t="s">
        <v>248</v>
      </c>
      <c r="G85" s="137" t="s">
        <v>255</v>
      </c>
      <c r="H85" s="137" t="s">
        <v>225</v>
      </c>
      <c r="I85" s="138" t="s">
        <v>5</v>
      </c>
      <c r="J85" s="100">
        <v>145865.17000000001</v>
      </c>
      <c r="K85" s="100">
        <v>18949.3</v>
      </c>
      <c r="L85" s="100">
        <f>77858.39+K85</f>
        <v>96807.69</v>
      </c>
      <c r="M85" s="151" t="s">
        <v>338</v>
      </c>
      <c r="N85" s="129"/>
      <c r="O85" s="129"/>
      <c r="P85" s="129"/>
      <c r="Q85" s="129"/>
      <c r="R85" s="129"/>
      <c r="S85" s="129"/>
      <c r="T85" s="129"/>
      <c r="U85" s="129"/>
      <c r="V85" s="129"/>
      <c r="W85" s="129"/>
      <c r="X85" s="129"/>
      <c r="Y85" s="129"/>
      <c r="Z85" s="129"/>
      <c r="AA85" s="129"/>
      <c r="AB85" s="129"/>
      <c r="AC85" s="129"/>
      <c r="AD85" s="129"/>
      <c r="AE85" s="129"/>
    </row>
    <row r="86" spans="1:31" s="151" customFormat="1" ht="27" customHeight="1" x14ac:dyDescent="0.25">
      <c r="A86" s="173">
        <v>33</v>
      </c>
      <c r="B86" s="143" t="s">
        <v>255</v>
      </c>
      <c r="C86" s="170" t="s">
        <v>228</v>
      </c>
      <c r="D86" s="136" t="s">
        <v>250</v>
      </c>
      <c r="E86" s="140" t="s">
        <v>29</v>
      </c>
      <c r="F86" s="144" t="s">
        <v>249</v>
      </c>
      <c r="G86" s="137" t="s">
        <v>275</v>
      </c>
      <c r="H86" s="137" t="s">
        <v>225</v>
      </c>
      <c r="I86" s="138" t="s">
        <v>5</v>
      </c>
      <c r="J86" s="100">
        <v>51400</v>
      </c>
      <c r="K86" s="100">
        <v>0</v>
      </c>
      <c r="L86" s="100">
        <v>0</v>
      </c>
      <c r="N86" s="129"/>
      <c r="O86" s="129"/>
      <c r="P86" s="129"/>
      <c r="Q86" s="129"/>
      <c r="R86" s="129"/>
      <c r="S86" s="129"/>
      <c r="T86" s="129"/>
      <c r="U86" s="129"/>
      <c r="V86" s="129"/>
      <c r="W86" s="129"/>
      <c r="X86" s="129"/>
      <c r="Y86" s="129"/>
      <c r="Z86" s="129"/>
      <c r="AA86" s="129"/>
      <c r="AB86" s="129"/>
      <c r="AC86" s="129"/>
      <c r="AD86" s="129"/>
      <c r="AE86" s="129"/>
    </row>
    <row r="87" spans="1:31" s="151" customFormat="1" ht="31.2" thickBot="1" x14ac:dyDescent="0.3">
      <c r="A87" s="152">
        <v>35</v>
      </c>
      <c r="B87" s="174" t="s">
        <v>257</v>
      </c>
      <c r="C87" s="175" t="s">
        <v>229</v>
      </c>
      <c r="D87" s="154" t="s">
        <v>15</v>
      </c>
      <c r="E87" s="155" t="s">
        <v>48</v>
      </c>
      <c r="F87" s="156" t="s">
        <v>251</v>
      </c>
      <c r="G87" s="158" t="s">
        <v>252</v>
      </c>
      <c r="H87" s="158" t="s">
        <v>230</v>
      </c>
      <c r="I87" s="159" t="s">
        <v>5</v>
      </c>
      <c r="J87" s="99">
        <v>491581.88</v>
      </c>
      <c r="K87" s="99">
        <v>153329.92000000001</v>
      </c>
      <c r="L87" s="99">
        <f>159596.64+100698.77+50287.68+20016.3+K87</f>
        <v>483929.31000000006</v>
      </c>
      <c r="M87" s="151" t="s">
        <v>337</v>
      </c>
      <c r="N87" s="129"/>
      <c r="O87" s="129"/>
      <c r="P87" s="129"/>
      <c r="Q87" s="129"/>
      <c r="R87" s="129"/>
      <c r="S87" s="129"/>
      <c r="T87" s="129"/>
      <c r="U87" s="129"/>
      <c r="V87" s="129"/>
      <c r="W87" s="129"/>
      <c r="X87" s="129"/>
      <c r="Y87" s="129"/>
      <c r="Z87" s="129"/>
      <c r="AA87" s="129"/>
      <c r="AB87" s="129"/>
      <c r="AC87" s="129"/>
      <c r="AD87" s="129"/>
      <c r="AE87" s="129"/>
    </row>
    <row r="88" spans="1:31" s="151" customFormat="1" x14ac:dyDescent="0.25">
      <c r="A88" s="173"/>
      <c r="B88" s="143"/>
      <c r="C88" s="182"/>
      <c r="D88" s="145"/>
      <c r="E88" s="177"/>
      <c r="F88" s="144" t="s">
        <v>378</v>
      </c>
      <c r="G88" s="131"/>
      <c r="H88" s="131"/>
      <c r="I88" s="142"/>
      <c r="J88" s="109"/>
      <c r="K88" s="109"/>
      <c r="L88" s="109"/>
      <c r="M88" s="151" t="s">
        <v>337</v>
      </c>
      <c r="N88" s="129"/>
      <c r="O88" s="129"/>
      <c r="P88" s="129"/>
      <c r="Q88" s="129"/>
      <c r="R88" s="129"/>
      <c r="S88" s="129"/>
      <c r="T88" s="129"/>
      <c r="U88" s="129"/>
      <c r="V88" s="129"/>
      <c r="W88" s="129"/>
      <c r="X88" s="129"/>
      <c r="Y88" s="129"/>
      <c r="Z88" s="129"/>
      <c r="AA88" s="129"/>
      <c r="AB88" s="129"/>
      <c r="AC88" s="129"/>
      <c r="AD88" s="129"/>
      <c r="AE88" s="129"/>
    </row>
    <row r="89" spans="1:31" s="151" customFormat="1" ht="20.399999999999999" x14ac:dyDescent="0.25">
      <c r="A89" s="173">
        <v>37</v>
      </c>
      <c r="B89" s="143" t="s">
        <v>273</v>
      </c>
      <c r="C89" s="170" t="s">
        <v>231</v>
      </c>
      <c r="D89" s="136" t="s">
        <v>15</v>
      </c>
      <c r="E89" s="140" t="s">
        <v>48</v>
      </c>
      <c r="F89" s="144" t="s">
        <v>259</v>
      </c>
      <c r="G89" s="137" t="s">
        <v>254</v>
      </c>
      <c r="H89" s="137" t="s">
        <v>225</v>
      </c>
      <c r="I89" s="138" t="s">
        <v>5</v>
      </c>
      <c r="J89" s="100">
        <v>226248.08</v>
      </c>
      <c r="K89" s="100">
        <f>46144.66+40530.15+70474.4+49001.59+10209.83+11526.84</f>
        <v>227887.46999999997</v>
      </c>
      <c r="L89" s="180">
        <f>K89</f>
        <v>227887.46999999997</v>
      </c>
      <c r="M89" s="151" t="s">
        <v>338</v>
      </c>
      <c r="N89" s="129"/>
      <c r="O89" s="129"/>
      <c r="P89" s="129"/>
      <c r="Q89" s="129"/>
      <c r="R89" s="129"/>
      <c r="S89" s="129"/>
      <c r="T89" s="129"/>
      <c r="U89" s="129"/>
      <c r="V89" s="129"/>
      <c r="W89" s="129"/>
      <c r="X89" s="129"/>
      <c r="Y89" s="129"/>
      <c r="Z89" s="129"/>
      <c r="AA89" s="129"/>
      <c r="AB89" s="129"/>
      <c r="AC89" s="129"/>
      <c r="AD89" s="129"/>
      <c r="AE89" s="129"/>
    </row>
    <row r="90" spans="1:31" s="151" customFormat="1" ht="21" x14ac:dyDescent="0.25">
      <c r="A90" s="173">
        <v>38</v>
      </c>
      <c r="B90" s="143" t="s">
        <v>274</v>
      </c>
      <c r="C90" s="170" t="s">
        <v>165</v>
      </c>
      <c r="D90" s="136" t="s">
        <v>15</v>
      </c>
      <c r="E90" s="140" t="s">
        <v>48</v>
      </c>
      <c r="F90" s="144" t="s">
        <v>260</v>
      </c>
      <c r="G90" s="137" t="s">
        <v>278</v>
      </c>
      <c r="H90" s="137" t="s">
        <v>232</v>
      </c>
      <c r="I90" s="138" t="s">
        <v>5</v>
      </c>
      <c r="J90" s="100">
        <v>3224157.7</v>
      </c>
      <c r="K90" s="109">
        <f>277803.79+11575.16+18719.53+449268.64</f>
        <v>757367.12</v>
      </c>
      <c r="L90" s="100">
        <f>665499.85+721758.03+277803.79+11575.16+18719.53+449268.64+79181.08</f>
        <v>2223806.08</v>
      </c>
      <c r="M90" s="109" t="s">
        <v>333</v>
      </c>
      <c r="N90" s="129"/>
      <c r="O90" s="129"/>
      <c r="P90" s="129"/>
      <c r="Q90" s="129"/>
      <c r="R90" s="129"/>
      <c r="S90" s="129"/>
      <c r="T90" s="129"/>
      <c r="U90" s="129"/>
      <c r="V90" s="129"/>
      <c r="W90" s="129"/>
      <c r="X90" s="129"/>
      <c r="Y90" s="129"/>
      <c r="Z90" s="129"/>
      <c r="AA90" s="129"/>
      <c r="AB90" s="129"/>
      <c r="AC90" s="129"/>
      <c r="AD90" s="129"/>
      <c r="AE90" s="129"/>
    </row>
    <row r="91" spans="1:31" s="151" customFormat="1" ht="20.399999999999999" x14ac:dyDescent="0.25">
      <c r="A91" s="173">
        <v>39</v>
      </c>
      <c r="B91" s="143" t="s">
        <v>275</v>
      </c>
      <c r="C91" s="170" t="s">
        <v>233</v>
      </c>
      <c r="D91" s="136" t="s">
        <v>15</v>
      </c>
      <c r="E91" s="140" t="s">
        <v>48</v>
      </c>
      <c r="F91" s="144" t="s">
        <v>261</v>
      </c>
      <c r="G91" s="137" t="s">
        <v>258</v>
      </c>
      <c r="H91" s="137" t="s">
        <v>225</v>
      </c>
      <c r="I91" s="138" t="s">
        <v>5</v>
      </c>
      <c r="J91" s="100">
        <v>391807.78</v>
      </c>
      <c r="K91" s="100">
        <v>0</v>
      </c>
      <c r="L91" s="100">
        <v>0</v>
      </c>
      <c r="N91" s="129"/>
      <c r="O91" s="129"/>
      <c r="P91" s="129"/>
      <c r="Q91" s="129"/>
      <c r="R91" s="129"/>
      <c r="S91" s="129"/>
      <c r="T91" s="129"/>
      <c r="U91" s="129"/>
      <c r="V91" s="129"/>
      <c r="W91" s="129"/>
      <c r="X91" s="129"/>
      <c r="Y91" s="129"/>
      <c r="Z91" s="129"/>
      <c r="AA91" s="129"/>
      <c r="AB91" s="129"/>
      <c r="AC91" s="129"/>
      <c r="AD91" s="129"/>
      <c r="AE91" s="129"/>
    </row>
    <row r="92" spans="1:31" s="151" customFormat="1" ht="20.399999999999999" x14ac:dyDescent="0.25">
      <c r="A92" s="173">
        <v>40</v>
      </c>
      <c r="B92" s="143" t="s">
        <v>276</v>
      </c>
      <c r="C92" s="170" t="s">
        <v>234</v>
      </c>
      <c r="D92" s="136" t="s">
        <v>15</v>
      </c>
      <c r="E92" s="140" t="s">
        <v>221</v>
      </c>
      <c r="F92" s="144" t="s">
        <v>263</v>
      </c>
      <c r="G92" s="137" t="s">
        <v>255</v>
      </c>
      <c r="H92" s="137" t="s">
        <v>225</v>
      </c>
      <c r="I92" s="138" t="s">
        <v>5</v>
      </c>
      <c r="J92" s="100">
        <v>113770</v>
      </c>
      <c r="K92" s="100">
        <v>0</v>
      </c>
      <c r="L92" s="100">
        <f>106165.68</f>
        <v>106165.68</v>
      </c>
      <c r="N92" s="129"/>
      <c r="O92" s="129"/>
      <c r="P92" s="129"/>
      <c r="Q92" s="129"/>
      <c r="R92" s="129"/>
      <c r="S92" s="129"/>
      <c r="T92" s="129"/>
      <c r="U92" s="129"/>
      <c r="V92" s="129"/>
      <c r="W92" s="129"/>
      <c r="X92" s="129"/>
      <c r="Y92" s="129"/>
      <c r="Z92" s="129"/>
      <c r="AA92" s="129"/>
      <c r="AB92" s="129"/>
      <c r="AC92" s="129"/>
      <c r="AD92" s="129"/>
      <c r="AE92" s="129"/>
    </row>
    <row r="93" spans="1:31" s="151" customFormat="1" ht="21" x14ac:dyDescent="0.25">
      <c r="A93" s="173">
        <v>41</v>
      </c>
      <c r="B93" s="143" t="s">
        <v>277</v>
      </c>
      <c r="C93" s="170" t="s">
        <v>235</v>
      </c>
      <c r="D93" s="136" t="s">
        <v>15</v>
      </c>
      <c r="E93" s="140" t="s">
        <v>29</v>
      </c>
      <c r="F93" s="144" t="s">
        <v>262</v>
      </c>
      <c r="G93" s="137" t="s">
        <v>279</v>
      </c>
      <c r="H93" s="137" t="s">
        <v>304</v>
      </c>
      <c r="I93" s="138" t="s">
        <v>5</v>
      </c>
      <c r="J93" s="100">
        <v>1737753.5</v>
      </c>
      <c r="K93" s="100">
        <v>0</v>
      </c>
      <c r="L93" s="100">
        <v>0</v>
      </c>
      <c r="N93" s="129"/>
      <c r="O93" s="129"/>
      <c r="P93" s="129"/>
      <c r="Q93" s="129"/>
      <c r="R93" s="129"/>
      <c r="S93" s="129"/>
      <c r="T93" s="129"/>
      <c r="U93" s="129"/>
      <c r="V93" s="129"/>
      <c r="W93" s="129"/>
      <c r="X93" s="129"/>
      <c r="Y93" s="129"/>
      <c r="Z93" s="129"/>
      <c r="AA93" s="129"/>
      <c r="AB93" s="129"/>
      <c r="AC93" s="129"/>
      <c r="AD93" s="129"/>
      <c r="AE93" s="129"/>
    </row>
    <row r="94" spans="1:31" s="151" customFormat="1" ht="20.399999999999999" x14ac:dyDescent="0.25">
      <c r="A94" s="173">
        <v>42</v>
      </c>
      <c r="B94" s="143" t="s">
        <v>278</v>
      </c>
      <c r="C94" s="170" t="s">
        <v>236</v>
      </c>
      <c r="D94" s="136" t="s">
        <v>15</v>
      </c>
      <c r="E94" s="140" t="s">
        <v>221</v>
      </c>
      <c r="F94" s="144" t="s">
        <v>264</v>
      </c>
      <c r="G94" s="137" t="s">
        <v>273</v>
      </c>
      <c r="H94" s="137" t="s">
        <v>288</v>
      </c>
      <c r="I94" s="138" t="s">
        <v>5</v>
      </c>
      <c r="J94" s="100">
        <v>214470.54</v>
      </c>
      <c r="K94" s="100">
        <v>0</v>
      </c>
      <c r="L94" s="100">
        <f>85438.11+48721.43+50603.6+29707.4</f>
        <v>214470.54</v>
      </c>
      <c r="N94" s="129"/>
      <c r="O94" s="129"/>
      <c r="P94" s="129"/>
      <c r="Q94" s="129"/>
      <c r="R94" s="129"/>
      <c r="S94" s="129"/>
      <c r="T94" s="129"/>
      <c r="U94" s="129"/>
      <c r="V94" s="129"/>
      <c r="W94" s="129"/>
      <c r="X94" s="129"/>
      <c r="Y94" s="129"/>
      <c r="Z94" s="129"/>
      <c r="AA94" s="129"/>
      <c r="AB94" s="129"/>
      <c r="AC94" s="129"/>
      <c r="AD94" s="129"/>
      <c r="AE94" s="129"/>
    </row>
    <row r="95" spans="1:31" s="151" customFormat="1" ht="30.6" x14ac:dyDescent="0.25">
      <c r="A95" s="173">
        <v>43</v>
      </c>
      <c r="B95" s="143" t="s">
        <v>279</v>
      </c>
      <c r="C95" s="170" t="s">
        <v>237</v>
      </c>
      <c r="D95" s="136" t="s">
        <v>15</v>
      </c>
      <c r="E95" s="140" t="s">
        <v>221</v>
      </c>
      <c r="F95" s="144" t="s">
        <v>265</v>
      </c>
      <c r="G95" s="137" t="s">
        <v>274</v>
      </c>
      <c r="H95" s="137" t="s">
        <v>225</v>
      </c>
      <c r="I95" s="138" t="s">
        <v>5</v>
      </c>
      <c r="J95" s="100">
        <v>119064.61</v>
      </c>
      <c r="K95" s="100">
        <f>6423.43</f>
        <v>6423.43</v>
      </c>
      <c r="L95" s="100">
        <f>19540.3+71549.77+K95</f>
        <v>97513.5</v>
      </c>
      <c r="M95" s="151" t="s">
        <v>337</v>
      </c>
      <c r="N95" s="129"/>
      <c r="O95" s="129"/>
      <c r="P95" s="129"/>
      <c r="Q95" s="129"/>
      <c r="R95" s="129"/>
      <c r="S95" s="129"/>
      <c r="T95" s="129"/>
      <c r="U95" s="129"/>
      <c r="V95" s="129"/>
      <c r="W95" s="129"/>
      <c r="X95" s="129"/>
      <c r="Y95" s="129"/>
      <c r="Z95" s="129"/>
      <c r="AA95" s="129"/>
      <c r="AB95" s="129"/>
      <c r="AC95" s="129"/>
      <c r="AD95" s="129"/>
      <c r="AE95" s="129"/>
    </row>
    <row r="96" spans="1:31" s="151" customFormat="1" ht="20.399999999999999" x14ac:dyDescent="0.25">
      <c r="A96" s="173">
        <v>44</v>
      </c>
      <c r="B96" s="143" t="s">
        <v>280</v>
      </c>
      <c r="C96" s="170" t="s">
        <v>238</v>
      </c>
      <c r="D96" s="136" t="s">
        <v>15</v>
      </c>
      <c r="E96" s="140" t="s">
        <v>223</v>
      </c>
      <c r="F96" s="144" t="s">
        <v>266</v>
      </c>
      <c r="G96" s="137" t="s">
        <v>256</v>
      </c>
      <c r="H96" s="137" t="s">
        <v>225</v>
      </c>
      <c r="I96" s="138" t="s">
        <v>5</v>
      </c>
      <c r="J96" s="100">
        <v>52259.74</v>
      </c>
      <c r="K96" s="100">
        <v>0</v>
      </c>
      <c r="L96" s="100">
        <v>13000</v>
      </c>
      <c r="N96" s="129"/>
      <c r="O96" s="129"/>
      <c r="P96" s="129"/>
      <c r="Q96" s="129"/>
      <c r="R96" s="129"/>
      <c r="S96" s="129"/>
      <c r="T96" s="129"/>
      <c r="U96" s="129"/>
      <c r="V96" s="129"/>
      <c r="W96" s="129"/>
      <c r="X96" s="129"/>
      <c r="Y96" s="129"/>
      <c r="Z96" s="129"/>
      <c r="AA96" s="129"/>
      <c r="AB96" s="129"/>
      <c r="AC96" s="129"/>
      <c r="AD96" s="129"/>
      <c r="AE96" s="129"/>
    </row>
    <row r="97" spans="1:31" s="151" customFormat="1" ht="20.399999999999999" x14ac:dyDescent="0.25">
      <c r="A97" s="173">
        <v>45</v>
      </c>
      <c r="B97" s="143" t="s">
        <v>281</v>
      </c>
      <c r="C97" s="170" t="s">
        <v>239</v>
      </c>
      <c r="D97" s="136" t="s">
        <v>15</v>
      </c>
      <c r="E97" s="140" t="s">
        <v>221</v>
      </c>
      <c r="F97" s="144" t="s">
        <v>267</v>
      </c>
      <c r="G97" s="137" t="s">
        <v>257</v>
      </c>
      <c r="H97" s="137" t="s">
        <v>225</v>
      </c>
      <c r="I97" s="138" t="s">
        <v>5</v>
      </c>
      <c r="J97" s="100">
        <v>105118.2</v>
      </c>
      <c r="K97" s="100">
        <v>11222.98</v>
      </c>
      <c r="L97" s="100">
        <f>47957.3+30915.79+K97</f>
        <v>90096.069999999992</v>
      </c>
      <c r="M97" s="151" t="s">
        <v>337</v>
      </c>
      <c r="N97" s="129"/>
      <c r="O97" s="129"/>
      <c r="P97" s="129"/>
      <c r="Q97" s="129"/>
      <c r="R97" s="129"/>
      <c r="S97" s="129"/>
      <c r="T97" s="129"/>
      <c r="U97" s="129"/>
      <c r="V97" s="129"/>
      <c r="W97" s="129"/>
      <c r="X97" s="129"/>
      <c r="Y97" s="129"/>
      <c r="Z97" s="129"/>
      <c r="AA97" s="129"/>
      <c r="AB97" s="129"/>
      <c r="AC97" s="129"/>
      <c r="AD97" s="129"/>
      <c r="AE97" s="129"/>
    </row>
    <row r="98" spans="1:31" s="151" customFormat="1" ht="20.399999999999999" x14ac:dyDescent="0.25">
      <c r="A98" s="173">
        <v>47</v>
      </c>
      <c r="B98" s="143" t="s">
        <v>282</v>
      </c>
      <c r="C98" s="170" t="s">
        <v>240</v>
      </c>
      <c r="D98" s="136" t="s">
        <v>15</v>
      </c>
      <c r="E98" s="140" t="s">
        <v>223</v>
      </c>
      <c r="F98" s="144" t="s">
        <v>268</v>
      </c>
      <c r="G98" s="137" t="s">
        <v>281</v>
      </c>
      <c r="H98" s="137" t="s">
        <v>225</v>
      </c>
      <c r="I98" s="138" t="s">
        <v>5</v>
      </c>
      <c r="J98" s="100">
        <v>1186129.3</v>
      </c>
      <c r="K98" s="100">
        <f>40949.84+107799.34+36229.21+134837.2+89908.88</f>
        <v>409724.47</v>
      </c>
      <c r="L98" s="100">
        <f>129454.77+100000+100664+216199.01+131532.65+20345.62+63200.05+K98</f>
        <v>1171120.57</v>
      </c>
      <c r="M98" s="151" t="s">
        <v>337</v>
      </c>
      <c r="N98" s="129"/>
      <c r="O98" s="129"/>
      <c r="P98" s="129"/>
      <c r="Q98" s="129"/>
      <c r="R98" s="129"/>
      <c r="S98" s="129"/>
      <c r="T98" s="129"/>
      <c r="U98" s="129"/>
      <c r="V98" s="129"/>
      <c r="W98" s="129"/>
      <c r="X98" s="129"/>
      <c r="Y98" s="129"/>
      <c r="Z98" s="129"/>
      <c r="AA98" s="129"/>
      <c r="AB98" s="129"/>
      <c r="AC98" s="129"/>
      <c r="AD98" s="129"/>
      <c r="AE98" s="129"/>
    </row>
    <row r="99" spans="1:31" s="151" customFormat="1" x14ac:dyDescent="0.25">
      <c r="A99" s="173">
        <v>48</v>
      </c>
      <c r="B99" s="143" t="s">
        <v>283</v>
      </c>
      <c r="C99" s="170" t="s">
        <v>241</v>
      </c>
      <c r="D99" s="136" t="s">
        <v>15</v>
      </c>
      <c r="E99" s="140" t="s">
        <v>28</v>
      </c>
      <c r="F99" s="144" t="s">
        <v>269</v>
      </c>
      <c r="G99" s="137" t="s">
        <v>283</v>
      </c>
      <c r="H99" s="137" t="s">
        <v>225</v>
      </c>
      <c r="I99" s="138" t="s">
        <v>5</v>
      </c>
      <c r="J99" s="100">
        <v>147852.07</v>
      </c>
      <c r="K99" s="100">
        <v>0</v>
      </c>
      <c r="L99" s="100">
        <f>40038.98+25232.65</f>
        <v>65271.630000000005</v>
      </c>
      <c r="N99" s="129"/>
      <c r="O99" s="129"/>
      <c r="P99" s="129"/>
      <c r="Q99" s="129"/>
      <c r="R99" s="129"/>
      <c r="S99" s="129"/>
      <c r="T99" s="129"/>
      <c r="U99" s="129"/>
      <c r="V99" s="129"/>
      <c r="W99" s="129"/>
      <c r="X99" s="129"/>
      <c r="Y99" s="129"/>
      <c r="Z99" s="129"/>
      <c r="AA99" s="129"/>
      <c r="AB99" s="129"/>
      <c r="AC99" s="129"/>
      <c r="AD99" s="129"/>
      <c r="AE99" s="129"/>
    </row>
    <row r="100" spans="1:31" s="151" customFormat="1" ht="20.399999999999999" x14ac:dyDescent="0.25">
      <c r="A100" s="173">
        <v>49</v>
      </c>
      <c r="B100" s="143" t="s">
        <v>284</v>
      </c>
      <c r="C100" s="170" t="s">
        <v>242</v>
      </c>
      <c r="D100" s="136" t="s">
        <v>15</v>
      </c>
      <c r="E100" s="140" t="s">
        <v>223</v>
      </c>
      <c r="F100" s="144" t="s">
        <v>270</v>
      </c>
      <c r="G100" s="137" t="s">
        <v>284</v>
      </c>
      <c r="H100" s="137" t="s">
        <v>225</v>
      </c>
      <c r="I100" s="138" t="s">
        <v>5</v>
      </c>
      <c r="J100" s="100">
        <v>147034.79999999999</v>
      </c>
      <c r="K100" s="100">
        <f>70848.5+42129.73</f>
        <v>112978.23000000001</v>
      </c>
      <c r="L100" s="100">
        <f>K100</f>
        <v>112978.23000000001</v>
      </c>
      <c r="M100" s="151" t="s">
        <v>337</v>
      </c>
      <c r="N100" s="129"/>
      <c r="O100" s="129"/>
      <c r="P100" s="129"/>
      <c r="Q100" s="129"/>
      <c r="R100" s="129"/>
      <c r="S100" s="129"/>
      <c r="T100" s="129"/>
      <c r="U100" s="129"/>
      <c r="V100" s="129"/>
      <c r="W100" s="129"/>
      <c r="X100" s="129"/>
      <c r="Y100" s="129"/>
      <c r="Z100" s="129"/>
      <c r="AA100" s="129"/>
      <c r="AB100" s="129"/>
      <c r="AC100" s="129"/>
      <c r="AD100" s="129"/>
      <c r="AE100" s="129"/>
    </row>
    <row r="101" spans="1:31" s="151" customFormat="1" ht="20.399999999999999" x14ac:dyDescent="0.25">
      <c r="A101" s="173">
        <v>50</v>
      </c>
      <c r="B101" s="143" t="s">
        <v>285</v>
      </c>
      <c r="C101" s="170" t="s">
        <v>306</v>
      </c>
      <c r="D101" s="136" t="s">
        <v>15</v>
      </c>
      <c r="E101" s="140" t="s">
        <v>221</v>
      </c>
      <c r="F101" s="144" t="s">
        <v>271</v>
      </c>
      <c r="G101" s="137" t="s">
        <v>285</v>
      </c>
      <c r="H101" s="137" t="s">
        <v>225</v>
      </c>
      <c r="I101" s="138" t="s">
        <v>5</v>
      </c>
      <c r="J101" s="100">
        <v>145100</v>
      </c>
      <c r="K101" s="100">
        <v>138222.25</v>
      </c>
      <c r="L101" s="100">
        <f>K101</f>
        <v>138222.25</v>
      </c>
      <c r="M101" s="151" t="s">
        <v>343</v>
      </c>
      <c r="N101" s="129"/>
      <c r="O101" s="129"/>
      <c r="P101" s="129"/>
      <c r="Q101" s="129"/>
      <c r="R101" s="129"/>
      <c r="S101" s="129"/>
      <c r="T101" s="129"/>
      <c r="U101" s="129"/>
      <c r="V101" s="129"/>
      <c r="W101" s="129"/>
      <c r="X101" s="129"/>
      <c r="Y101" s="129"/>
      <c r="Z101" s="129"/>
      <c r="AA101" s="129"/>
      <c r="AB101" s="129"/>
      <c r="AC101" s="129"/>
      <c r="AD101" s="129"/>
      <c r="AE101" s="129"/>
    </row>
    <row r="102" spans="1:31" s="151" customFormat="1" ht="30.6" x14ac:dyDescent="0.25">
      <c r="A102" s="173">
        <v>51</v>
      </c>
      <c r="B102" s="143" t="s">
        <v>286</v>
      </c>
      <c r="C102" s="170" t="s">
        <v>243</v>
      </c>
      <c r="D102" s="136" t="s">
        <v>15</v>
      </c>
      <c r="E102" s="140" t="s">
        <v>221</v>
      </c>
      <c r="F102" s="144" t="s">
        <v>272</v>
      </c>
      <c r="G102" s="137" t="s">
        <v>286</v>
      </c>
      <c r="H102" s="137" t="s">
        <v>225</v>
      </c>
      <c r="I102" s="138" t="s">
        <v>5</v>
      </c>
      <c r="J102" s="100">
        <v>146223.85</v>
      </c>
      <c r="K102" s="100">
        <v>60649.46</v>
      </c>
      <c r="L102" s="100">
        <f>60751.49+K102</f>
        <v>121400.95</v>
      </c>
      <c r="N102" s="129"/>
      <c r="O102" s="129"/>
      <c r="P102" s="129"/>
      <c r="Q102" s="129"/>
      <c r="R102" s="129"/>
      <c r="S102" s="129"/>
      <c r="T102" s="129"/>
      <c r="U102" s="129"/>
      <c r="V102" s="129"/>
      <c r="W102" s="129"/>
      <c r="X102" s="129"/>
      <c r="Y102" s="129"/>
      <c r="Z102" s="129"/>
      <c r="AA102" s="129"/>
      <c r="AB102" s="129"/>
      <c r="AC102" s="129"/>
      <c r="AD102" s="129"/>
      <c r="AE102" s="129"/>
    </row>
    <row r="103" spans="1:31" s="151" customFormat="1" ht="20.399999999999999" x14ac:dyDescent="0.25">
      <c r="A103" s="173">
        <v>52</v>
      </c>
      <c r="B103" s="143" t="s">
        <v>287</v>
      </c>
      <c r="C103" s="170" t="s">
        <v>244</v>
      </c>
      <c r="D103" s="136" t="s">
        <v>15</v>
      </c>
      <c r="E103" s="140" t="s">
        <v>48</v>
      </c>
      <c r="F103" s="144" t="s">
        <v>289</v>
      </c>
      <c r="G103" s="137" t="s">
        <v>287</v>
      </c>
      <c r="H103" s="137" t="s">
        <v>225</v>
      </c>
      <c r="I103" s="138" t="s">
        <v>5</v>
      </c>
      <c r="J103" s="100">
        <v>147964.29999999999</v>
      </c>
      <c r="K103" s="100">
        <v>0</v>
      </c>
      <c r="L103" s="100">
        <v>0</v>
      </c>
      <c r="N103" s="129"/>
      <c r="O103" s="129"/>
      <c r="P103" s="129"/>
      <c r="Q103" s="129"/>
      <c r="R103" s="129"/>
      <c r="S103" s="129"/>
      <c r="T103" s="129"/>
      <c r="U103" s="129"/>
      <c r="V103" s="129"/>
      <c r="W103" s="129"/>
      <c r="X103" s="129"/>
      <c r="Y103" s="129"/>
      <c r="Z103" s="129"/>
      <c r="AA103" s="129"/>
      <c r="AB103" s="129"/>
      <c r="AC103" s="129"/>
      <c r="AD103" s="129"/>
      <c r="AE103" s="129"/>
    </row>
    <row r="104" spans="1:31" s="151" customFormat="1" ht="20.399999999999999" x14ac:dyDescent="0.25">
      <c r="A104" s="127">
        <v>53</v>
      </c>
      <c r="B104" s="241" t="s">
        <v>291</v>
      </c>
      <c r="C104" s="257" t="s">
        <v>292</v>
      </c>
      <c r="D104" s="126" t="s">
        <v>15</v>
      </c>
      <c r="E104" s="140" t="s">
        <v>223</v>
      </c>
      <c r="F104" s="234" t="s">
        <v>290</v>
      </c>
      <c r="G104" s="246" t="s">
        <v>291</v>
      </c>
      <c r="H104" s="246" t="s">
        <v>225</v>
      </c>
      <c r="I104" s="237" t="s">
        <v>5</v>
      </c>
      <c r="J104" s="238">
        <v>56817.33</v>
      </c>
      <c r="K104" s="258">
        <f>14618.63+11578.03</f>
        <v>26196.66</v>
      </c>
      <c r="L104" s="258">
        <f>29728.65+K104</f>
        <v>55925.31</v>
      </c>
      <c r="M104" s="151" t="s">
        <v>340</v>
      </c>
      <c r="N104" s="129"/>
      <c r="O104" s="129"/>
      <c r="P104" s="129"/>
      <c r="Q104" s="129"/>
      <c r="R104" s="129"/>
      <c r="S104" s="129"/>
      <c r="T104" s="129"/>
      <c r="U104" s="129"/>
      <c r="V104" s="129"/>
      <c r="W104" s="129"/>
      <c r="X104" s="129"/>
      <c r="Y104" s="129"/>
      <c r="Z104" s="129"/>
      <c r="AA104" s="129"/>
      <c r="AB104" s="129"/>
      <c r="AC104" s="129"/>
      <c r="AD104" s="129"/>
      <c r="AE104" s="129"/>
    </row>
    <row r="105" spans="1:31" s="151" customFormat="1" ht="20.399999999999999" x14ac:dyDescent="0.25">
      <c r="A105" s="173">
        <v>54</v>
      </c>
      <c r="B105" s="143" t="s">
        <v>300</v>
      </c>
      <c r="C105" s="170" t="s">
        <v>293</v>
      </c>
      <c r="D105" s="136" t="s">
        <v>15</v>
      </c>
      <c r="E105" s="140" t="s">
        <v>221</v>
      </c>
      <c r="F105" s="144" t="s">
        <v>296</v>
      </c>
      <c r="G105" s="137" t="s">
        <v>300</v>
      </c>
      <c r="H105" s="137" t="s">
        <v>225</v>
      </c>
      <c r="I105" s="138" t="s">
        <v>5</v>
      </c>
      <c r="J105" s="148">
        <v>109393.38</v>
      </c>
      <c r="K105" s="100">
        <v>80556.789999999994</v>
      </c>
      <c r="L105" s="100">
        <f>K105</f>
        <v>80556.789999999994</v>
      </c>
      <c r="M105" s="151" t="s">
        <v>340</v>
      </c>
      <c r="N105" s="129"/>
      <c r="O105" s="129"/>
      <c r="P105" s="129"/>
      <c r="Q105" s="129"/>
      <c r="R105" s="129"/>
      <c r="S105" s="129"/>
      <c r="T105" s="129"/>
      <c r="U105" s="129"/>
      <c r="V105" s="129"/>
      <c r="W105" s="129"/>
      <c r="X105" s="129"/>
      <c r="Y105" s="129"/>
      <c r="Z105" s="129"/>
      <c r="AA105" s="129"/>
      <c r="AB105" s="129"/>
      <c r="AC105" s="129"/>
      <c r="AD105" s="129"/>
      <c r="AE105" s="129"/>
    </row>
    <row r="106" spans="1:31" s="151" customFormat="1" ht="20.399999999999999" x14ac:dyDescent="0.25">
      <c r="A106" s="173">
        <v>55</v>
      </c>
      <c r="B106" s="143" t="s">
        <v>301</v>
      </c>
      <c r="C106" s="170" t="s">
        <v>294</v>
      </c>
      <c r="D106" s="136" t="s">
        <v>15</v>
      </c>
      <c r="E106" s="140" t="s">
        <v>221</v>
      </c>
      <c r="F106" s="144" t="s">
        <v>297</v>
      </c>
      <c r="G106" s="137" t="s">
        <v>301</v>
      </c>
      <c r="H106" s="137" t="s">
        <v>225</v>
      </c>
      <c r="I106" s="138" t="s">
        <v>5</v>
      </c>
      <c r="J106" s="148">
        <v>82240</v>
      </c>
      <c r="K106" s="100">
        <v>16425.84</v>
      </c>
      <c r="L106" s="100">
        <f>65814.16+K106</f>
        <v>82240</v>
      </c>
      <c r="N106" s="129"/>
      <c r="O106" s="129"/>
      <c r="P106" s="129"/>
      <c r="Q106" s="129"/>
      <c r="R106" s="129"/>
      <c r="S106" s="129"/>
      <c r="T106" s="129"/>
      <c r="U106" s="129"/>
      <c r="V106" s="129"/>
      <c r="W106" s="129"/>
      <c r="X106" s="129"/>
      <c r="Y106" s="129"/>
      <c r="Z106" s="129"/>
      <c r="AA106" s="129"/>
      <c r="AB106" s="129"/>
      <c r="AC106" s="129"/>
      <c r="AD106" s="129"/>
      <c r="AE106" s="129"/>
    </row>
    <row r="107" spans="1:31" s="151" customFormat="1" ht="22.5" customHeight="1" thickBot="1" x14ac:dyDescent="0.3">
      <c r="A107" s="152">
        <v>56</v>
      </c>
      <c r="B107" s="174" t="s">
        <v>302</v>
      </c>
      <c r="C107" s="175" t="s">
        <v>295</v>
      </c>
      <c r="D107" s="154" t="s">
        <v>15</v>
      </c>
      <c r="E107" s="155" t="s">
        <v>221</v>
      </c>
      <c r="F107" s="156" t="s">
        <v>298</v>
      </c>
      <c r="G107" s="158" t="s">
        <v>302</v>
      </c>
      <c r="H107" s="158" t="s">
        <v>225</v>
      </c>
      <c r="I107" s="159" t="s">
        <v>5</v>
      </c>
      <c r="J107" s="160">
        <v>146888.39000000001</v>
      </c>
      <c r="K107" s="99">
        <v>0</v>
      </c>
      <c r="L107" s="99">
        <f>60462.56+49809.58</f>
        <v>110272.14</v>
      </c>
      <c r="N107" s="129"/>
      <c r="O107" s="129"/>
      <c r="P107" s="129"/>
      <c r="Q107" s="129"/>
      <c r="R107" s="129"/>
      <c r="S107" s="129"/>
      <c r="T107" s="129"/>
      <c r="U107" s="129"/>
      <c r="V107" s="129"/>
      <c r="W107" s="129"/>
      <c r="X107" s="129"/>
      <c r="Y107" s="129"/>
      <c r="Z107" s="129"/>
      <c r="AA107" s="129"/>
      <c r="AB107" s="129"/>
      <c r="AC107" s="129"/>
      <c r="AD107" s="129"/>
      <c r="AE107" s="129"/>
    </row>
    <row r="108" spans="1:31" s="151" customFormat="1" ht="22.5" customHeight="1" x14ac:dyDescent="0.25">
      <c r="A108" s="247">
        <v>57</v>
      </c>
      <c r="B108" s="248" t="s">
        <v>303</v>
      </c>
      <c r="C108" s="249" t="s">
        <v>181</v>
      </c>
      <c r="D108" s="250" t="s">
        <v>15</v>
      </c>
      <c r="E108" s="164" t="s">
        <v>48</v>
      </c>
      <c r="F108" s="251" t="s">
        <v>299</v>
      </c>
      <c r="G108" s="252" t="s">
        <v>308</v>
      </c>
      <c r="H108" s="253" t="s">
        <v>199</v>
      </c>
      <c r="I108" s="254" t="s">
        <v>5</v>
      </c>
      <c r="J108" s="255">
        <v>2635231.1</v>
      </c>
      <c r="K108" s="255">
        <f>41968.33+383835.1+14666.99+134141.8+72729.91+47259.06+79905.69+107488.87+107017.46+103765</f>
        <v>1092778.21</v>
      </c>
      <c r="L108" s="255">
        <f>K108</f>
        <v>1092778.21</v>
      </c>
      <c r="N108" s="129"/>
      <c r="O108" s="129"/>
      <c r="P108" s="129"/>
      <c r="Q108" s="129"/>
      <c r="R108" s="129"/>
      <c r="S108" s="129"/>
      <c r="T108" s="129"/>
      <c r="U108" s="129"/>
      <c r="V108" s="129"/>
      <c r="W108" s="129"/>
      <c r="X108" s="129"/>
      <c r="Y108" s="129"/>
      <c r="Z108" s="129"/>
      <c r="AA108" s="129"/>
      <c r="AB108" s="129"/>
      <c r="AC108" s="129"/>
      <c r="AD108" s="129"/>
      <c r="AE108" s="129"/>
    </row>
    <row r="109" spans="1:31" s="151" customFormat="1" x14ac:dyDescent="0.25">
      <c r="A109" s="173"/>
      <c r="B109" s="143"/>
      <c r="C109" s="176"/>
      <c r="D109" s="145"/>
      <c r="E109" s="177"/>
      <c r="F109" s="144"/>
      <c r="G109" s="178"/>
      <c r="H109" s="131"/>
      <c r="I109" s="138"/>
      <c r="J109" s="100"/>
      <c r="K109" s="109"/>
      <c r="L109" s="109"/>
      <c r="N109" s="129"/>
      <c r="O109" s="129"/>
      <c r="P109" s="129"/>
      <c r="Q109" s="129"/>
      <c r="R109" s="129"/>
      <c r="S109" s="129"/>
      <c r="T109" s="129"/>
      <c r="U109" s="129"/>
      <c r="V109" s="129"/>
      <c r="W109" s="129"/>
      <c r="X109" s="129"/>
      <c r="Y109" s="129"/>
      <c r="Z109" s="129"/>
      <c r="AA109" s="129"/>
      <c r="AB109" s="129"/>
      <c r="AC109" s="129"/>
      <c r="AD109" s="129"/>
      <c r="AE109" s="129"/>
    </row>
    <row r="110" spans="1:31" s="179" customFormat="1" ht="12.75" customHeight="1" thickBot="1" x14ac:dyDescent="0.3">
      <c r="A110" s="212"/>
      <c r="B110" s="213"/>
      <c r="C110" s="214"/>
      <c r="D110" s="215"/>
      <c r="E110" s="334"/>
      <c r="F110" s="216"/>
      <c r="G110" s="217"/>
      <c r="H110" s="217"/>
      <c r="I110" s="218"/>
      <c r="J110" s="219"/>
      <c r="K110" s="219"/>
      <c r="L110" s="219"/>
    </row>
    <row r="111" spans="1:31" ht="12.75" customHeight="1" thickBot="1" x14ac:dyDescent="0.3">
      <c r="A111" s="26"/>
      <c r="B111" s="84"/>
      <c r="C111" s="85"/>
      <c r="D111" s="85"/>
      <c r="E111" s="336"/>
      <c r="F111" s="904" t="s">
        <v>177</v>
      </c>
      <c r="G111" s="904"/>
      <c r="H111" s="904"/>
      <c r="I111" s="926"/>
      <c r="J111" s="27">
        <f>SUM(J63:J110)</f>
        <v>22029745.309999999</v>
      </c>
      <c r="K111" s="27">
        <f>SUM(K63:K110)</f>
        <v>4992357.0299999993</v>
      </c>
      <c r="L111" s="27">
        <f>SUM(L63:L110)</f>
        <v>13051925.02</v>
      </c>
    </row>
    <row r="112" spans="1:31" ht="12.75" customHeight="1" x14ac:dyDescent="0.25">
      <c r="A112" s="70"/>
      <c r="B112" s="86"/>
      <c r="C112" s="87"/>
      <c r="D112" s="87"/>
      <c r="E112" s="337"/>
      <c r="F112" s="90"/>
      <c r="G112" s="91"/>
      <c r="H112" s="91"/>
      <c r="I112" s="91"/>
      <c r="J112" s="92"/>
      <c r="K112" s="92"/>
      <c r="L112" s="93"/>
    </row>
    <row r="113" spans="1:17" ht="12.75" customHeight="1" thickBot="1" x14ac:dyDescent="0.3">
      <c r="A113" s="98"/>
      <c r="B113" s="88"/>
      <c r="C113" s="89"/>
      <c r="D113" s="89"/>
      <c r="E113" s="338"/>
      <c r="F113" s="94"/>
      <c r="G113" s="95"/>
      <c r="H113" s="95"/>
      <c r="I113" s="95"/>
      <c r="J113" s="96"/>
      <c r="K113" s="96"/>
      <c r="L113" s="97"/>
    </row>
    <row r="114" spans="1:17" s="203" customFormat="1" ht="21.75" customHeight="1" thickBot="1" x14ac:dyDescent="0.3">
      <c r="A114" s="198"/>
      <c r="B114" s="199"/>
      <c r="C114" s="228" t="s">
        <v>310</v>
      </c>
      <c r="D114" s="200"/>
      <c r="E114" s="132"/>
      <c r="F114" s="200"/>
      <c r="G114" s="200"/>
      <c r="H114" s="200"/>
      <c r="I114" s="201"/>
      <c r="J114" s="202"/>
      <c r="K114" s="202"/>
      <c r="L114" s="202"/>
    </row>
    <row r="115" spans="1:17" ht="29.25" customHeight="1" x14ac:dyDescent="0.25">
      <c r="A115" s="133"/>
      <c r="B115" s="945" t="s">
        <v>364</v>
      </c>
      <c r="C115" s="946"/>
      <c r="D115" s="946"/>
      <c r="E115" s="946"/>
      <c r="F115" s="946"/>
      <c r="G115" s="946"/>
      <c r="H115" s="946"/>
      <c r="I115" s="946"/>
      <c r="J115" s="946"/>
      <c r="K115" s="946"/>
      <c r="L115" s="946"/>
      <c r="M115" s="946"/>
      <c r="N115" s="946"/>
      <c r="O115" s="946"/>
      <c r="P115" s="946"/>
      <c r="Q115" s="947"/>
    </row>
    <row r="116" spans="1:17" ht="12.75" customHeight="1" x14ac:dyDescent="0.25">
      <c r="A116" s="229">
        <v>5</v>
      </c>
      <c r="B116" s="260" t="s">
        <v>309</v>
      </c>
      <c r="C116" s="233" t="s">
        <v>312</v>
      </c>
      <c r="D116" s="126" t="s">
        <v>15</v>
      </c>
      <c r="E116" s="274" t="s">
        <v>4</v>
      </c>
      <c r="F116" s="275" t="s">
        <v>311</v>
      </c>
      <c r="G116" s="246" t="s">
        <v>309</v>
      </c>
      <c r="H116" s="246" t="s">
        <v>318</v>
      </c>
      <c r="I116" s="237" t="s">
        <v>5</v>
      </c>
      <c r="J116" s="405">
        <v>1647667</v>
      </c>
      <c r="K116" s="258">
        <f>29025.96+290259.6</f>
        <v>319285.56</v>
      </c>
      <c r="L116" s="258">
        <f>K116</f>
        <v>319285.56</v>
      </c>
      <c r="M116" s="129" t="s">
        <v>336</v>
      </c>
      <c r="N116" s="129"/>
      <c r="O116" s="129"/>
      <c r="P116" s="129"/>
      <c r="Q116" s="129"/>
    </row>
    <row r="117" spans="1:17" s="203" customFormat="1" ht="24.6" x14ac:dyDescent="0.25">
      <c r="A117" s="204"/>
      <c r="B117" s="948" t="s">
        <v>347</v>
      </c>
      <c r="C117" s="949"/>
      <c r="D117" s="949"/>
      <c r="E117" s="949"/>
      <c r="F117" s="949"/>
      <c r="G117" s="949"/>
      <c r="H117" s="949"/>
      <c r="I117" s="949"/>
      <c r="J117" s="949"/>
      <c r="K117" s="949"/>
      <c r="L117" s="949"/>
      <c r="M117" s="949"/>
      <c r="N117" s="949"/>
      <c r="O117" s="949"/>
      <c r="P117" s="949"/>
      <c r="Q117" s="950"/>
    </row>
    <row r="118" spans="1:17" ht="20.399999999999999" x14ac:dyDescent="0.25">
      <c r="A118" s="229"/>
      <c r="B118" s="260" t="s">
        <v>316</v>
      </c>
      <c r="C118" s="259" t="s">
        <v>373</v>
      </c>
      <c r="D118" s="126" t="s">
        <v>15</v>
      </c>
      <c r="E118" s="149" t="s">
        <v>4</v>
      </c>
      <c r="F118" s="261" t="s">
        <v>314</v>
      </c>
      <c r="G118" s="125" t="s">
        <v>315</v>
      </c>
      <c r="H118" s="125" t="s">
        <v>318</v>
      </c>
      <c r="I118" s="245" t="s">
        <v>5</v>
      </c>
      <c r="J118" s="126">
        <v>1656066.52</v>
      </c>
      <c r="K118" s="126">
        <f>36084.48</f>
        <v>36084.480000000003</v>
      </c>
      <c r="L118" s="126">
        <f>828616+K118</f>
        <v>864700.48</v>
      </c>
      <c r="M118" s="129" t="s">
        <v>337</v>
      </c>
      <c r="N118" s="129"/>
      <c r="O118" s="129"/>
      <c r="P118" s="129"/>
      <c r="Q118" s="129"/>
    </row>
    <row r="119" spans="1:17" s="203" customFormat="1" ht="32.25" customHeight="1" x14ac:dyDescent="0.25">
      <c r="A119" s="204"/>
      <c r="B119" s="948" t="s">
        <v>348</v>
      </c>
      <c r="C119" s="949"/>
      <c r="D119" s="949"/>
      <c r="E119" s="949"/>
      <c r="F119" s="949"/>
      <c r="G119" s="949"/>
      <c r="H119" s="949"/>
      <c r="I119" s="949"/>
      <c r="J119" s="949"/>
      <c r="K119" s="949"/>
      <c r="L119" s="949"/>
      <c r="M119" s="949"/>
      <c r="N119" s="949"/>
      <c r="O119" s="949"/>
      <c r="P119" s="949"/>
      <c r="Q119" s="950"/>
    </row>
    <row r="120" spans="1:17" s="124" customFormat="1" ht="20.399999999999999" x14ac:dyDescent="0.25">
      <c r="A120" s="229"/>
      <c r="B120" s="260" t="s">
        <v>319</v>
      </c>
      <c r="C120" s="242" t="s">
        <v>372</v>
      </c>
      <c r="D120" s="126" t="s">
        <v>15</v>
      </c>
      <c r="E120" s="149" t="s">
        <v>4</v>
      </c>
      <c r="F120" s="261" t="s">
        <v>320</v>
      </c>
      <c r="G120" s="125" t="s">
        <v>317</v>
      </c>
      <c r="H120" s="125" t="s">
        <v>318</v>
      </c>
      <c r="I120" s="245" t="s">
        <v>5</v>
      </c>
      <c r="J120" s="186">
        <v>1200101.8400000001</v>
      </c>
      <c r="K120" s="186">
        <f>152780.28+131248.29+162557.42+153181.05+133581.58+200000+52660.68+169962.66+60000+26221.46+8182.23+94998.06</f>
        <v>1345373.71</v>
      </c>
      <c r="L120" s="186">
        <f>K120</f>
        <v>1345373.71</v>
      </c>
      <c r="M120" s="129"/>
      <c r="N120" s="129"/>
      <c r="O120" s="129"/>
      <c r="P120" s="129"/>
      <c r="Q120" s="129"/>
    </row>
    <row r="121" spans="1:17" s="124" customFormat="1" ht="20.399999999999999" x14ac:dyDescent="0.25">
      <c r="A121" s="229"/>
      <c r="B121" s="260" t="s">
        <v>323</v>
      </c>
      <c r="C121" s="242" t="s">
        <v>321</v>
      </c>
      <c r="D121" s="126" t="s">
        <v>15</v>
      </c>
      <c r="E121" s="149" t="s">
        <v>4</v>
      </c>
      <c r="F121" s="261" t="s">
        <v>322</v>
      </c>
      <c r="G121" s="125" t="s">
        <v>329</v>
      </c>
      <c r="H121" s="125" t="s">
        <v>225</v>
      </c>
      <c r="I121" s="245" t="s">
        <v>5</v>
      </c>
      <c r="J121" s="186">
        <v>162009.60000000001</v>
      </c>
      <c r="K121" s="186">
        <f>14850.88+14513.36+16878+14513.36+15863.44+13163.28+13500.8+11897.58</f>
        <v>115180.7</v>
      </c>
      <c r="L121" s="186">
        <f>K121</f>
        <v>115180.7</v>
      </c>
      <c r="M121" s="129" t="s">
        <v>342</v>
      </c>
      <c r="N121" s="129"/>
      <c r="O121" s="129"/>
      <c r="P121" s="129"/>
      <c r="Q121" s="129"/>
    </row>
    <row r="122" spans="1:17" s="124" customFormat="1" ht="25.2" x14ac:dyDescent="0.25">
      <c r="A122" s="229"/>
      <c r="B122" s="260" t="s">
        <v>326</v>
      </c>
      <c r="C122" s="242" t="s">
        <v>324</v>
      </c>
      <c r="D122" s="126" t="s">
        <v>15</v>
      </c>
      <c r="E122" s="183" t="s">
        <v>34</v>
      </c>
      <c r="F122" s="261" t="s">
        <v>325</v>
      </c>
      <c r="G122" s="125" t="s">
        <v>327</v>
      </c>
      <c r="H122" s="125" t="s">
        <v>225</v>
      </c>
      <c r="I122" s="245" t="s">
        <v>5</v>
      </c>
      <c r="J122" s="186">
        <v>392040</v>
      </c>
      <c r="K122" s="186">
        <f>128502</f>
        <v>128502</v>
      </c>
      <c r="L122" s="186">
        <f>K122</f>
        <v>128502</v>
      </c>
      <c r="M122" s="129" t="s">
        <v>374</v>
      </c>
      <c r="N122" s="129"/>
      <c r="O122" s="129"/>
      <c r="P122" s="129"/>
      <c r="Q122" s="129"/>
    </row>
    <row r="123" spans="1:17" s="124" customFormat="1" ht="42" x14ac:dyDescent="0.25">
      <c r="A123" s="231"/>
      <c r="B123" s="241" t="s">
        <v>346</v>
      </c>
      <c r="C123" s="242" t="s">
        <v>349</v>
      </c>
      <c r="D123" s="126" t="s">
        <v>15</v>
      </c>
      <c r="E123" s="140" t="s">
        <v>4</v>
      </c>
      <c r="F123" s="243" t="s">
        <v>345</v>
      </c>
      <c r="G123" s="243" t="s">
        <v>344</v>
      </c>
      <c r="H123" s="243" t="s">
        <v>225</v>
      </c>
      <c r="I123" s="243" t="s">
        <v>5</v>
      </c>
      <c r="J123" s="186">
        <v>175246.5</v>
      </c>
      <c r="K123" s="186">
        <v>68874.09</v>
      </c>
      <c r="L123" s="186">
        <f>64099.89+47140.18+K123</f>
        <v>180114.16</v>
      </c>
      <c r="M123" s="129" t="s">
        <v>334</v>
      </c>
      <c r="N123" s="129"/>
      <c r="O123" s="129"/>
      <c r="P123" s="129"/>
      <c r="Q123" s="129"/>
    </row>
    <row r="124" spans="1:17" s="203" customFormat="1" ht="24.6" x14ac:dyDescent="0.25">
      <c r="A124" s="205"/>
      <c r="B124" s="948" t="s">
        <v>350</v>
      </c>
      <c r="C124" s="949"/>
      <c r="D124" s="949"/>
      <c r="E124" s="949"/>
      <c r="F124" s="949"/>
      <c r="G124" s="949"/>
      <c r="H124" s="949"/>
      <c r="I124" s="949"/>
      <c r="J124" s="949"/>
      <c r="K124" s="949"/>
      <c r="L124" s="949"/>
      <c r="M124" s="949"/>
      <c r="N124" s="949"/>
      <c r="O124" s="949"/>
      <c r="P124" s="949"/>
      <c r="Q124" s="950"/>
    </row>
    <row r="125" spans="1:17" s="124" customFormat="1" ht="20.399999999999999" x14ac:dyDescent="0.25">
      <c r="A125" s="231"/>
      <c r="B125" s="241" t="s">
        <v>356</v>
      </c>
      <c r="C125" s="242" t="s">
        <v>380</v>
      </c>
      <c r="D125" s="126" t="s">
        <v>15</v>
      </c>
      <c r="E125" s="140" t="s">
        <v>4</v>
      </c>
      <c r="F125" s="244" t="s">
        <v>365</v>
      </c>
      <c r="G125" s="125" t="s">
        <v>328</v>
      </c>
      <c r="H125" s="125" t="s">
        <v>225</v>
      </c>
      <c r="I125" s="245" t="s">
        <v>5</v>
      </c>
      <c r="J125" s="186">
        <v>67306.350000000006</v>
      </c>
      <c r="K125" s="127">
        <f>50304.61+5000+16826.58</f>
        <v>72131.19</v>
      </c>
      <c r="L125" s="186">
        <f>K125</f>
        <v>72131.19</v>
      </c>
      <c r="M125" s="185" t="s">
        <v>341</v>
      </c>
      <c r="N125" s="129"/>
      <c r="O125" s="129"/>
      <c r="P125" s="129"/>
      <c r="Q125" s="129"/>
    </row>
    <row r="126" spans="1:17" s="124" customFormat="1" ht="20.399999999999999" x14ac:dyDescent="0.25">
      <c r="A126" s="231"/>
      <c r="B126" s="241" t="s">
        <v>359</v>
      </c>
      <c r="C126" s="259" t="s">
        <v>352</v>
      </c>
      <c r="D126" s="126" t="s">
        <v>15</v>
      </c>
      <c r="E126" s="140" t="s">
        <v>4</v>
      </c>
      <c r="F126" s="244" t="s">
        <v>366</v>
      </c>
      <c r="G126" s="125" t="s">
        <v>356</v>
      </c>
      <c r="H126" s="125" t="s">
        <v>225</v>
      </c>
      <c r="I126" s="245" t="s">
        <v>5</v>
      </c>
      <c r="J126" s="186">
        <v>651021.72</v>
      </c>
      <c r="K126" s="186">
        <f>80000+10000+120000+61925.54+8200.59+74190.98+31564.19</f>
        <v>385881.3</v>
      </c>
      <c r="L126" s="186">
        <f>41587.52+K126</f>
        <v>427468.82</v>
      </c>
      <c r="M126" s="129" t="s">
        <v>341</v>
      </c>
      <c r="N126" s="129"/>
      <c r="O126" s="129"/>
      <c r="P126" s="129"/>
      <c r="Q126" s="129"/>
    </row>
    <row r="127" spans="1:17" s="124" customFormat="1" ht="33.6" x14ac:dyDescent="0.25">
      <c r="A127" s="231"/>
      <c r="B127" s="241" t="s">
        <v>360</v>
      </c>
      <c r="C127" s="242" t="s">
        <v>353</v>
      </c>
      <c r="D127" s="126" t="s">
        <v>15</v>
      </c>
      <c r="E127" s="140" t="s">
        <v>4</v>
      </c>
      <c r="F127" s="244" t="s">
        <v>367</v>
      </c>
      <c r="G127" s="125" t="s">
        <v>357</v>
      </c>
      <c r="H127" s="125" t="s">
        <v>225</v>
      </c>
      <c r="I127" s="245" t="s">
        <v>5</v>
      </c>
      <c r="J127" s="186">
        <v>593183.67000000004</v>
      </c>
      <c r="K127" s="186">
        <f>129214.62+52708.1+52708.1+112601.28</f>
        <v>347232.1</v>
      </c>
      <c r="L127" s="186">
        <f>K127</f>
        <v>347232.1</v>
      </c>
      <c r="M127" s="124" t="s">
        <v>376</v>
      </c>
    </row>
    <row r="128" spans="1:17" s="124" customFormat="1" ht="25.2" x14ac:dyDescent="0.25">
      <c r="A128" s="231"/>
      <c r="B128" s="241" t="s">
        <v>361</v>
      </c>
      <c r="C128" s="230" t="s">
        <v>354</v>
      </c>
      <c r="D128" s="126" t="s">
        <v>15</v>
      </c>
      <c r="E128" s="140" t="s">
        <v>4</v>
      </c>
      <c r="F128" s="244" t="s">
        <v>368</v>
      </c>
      <c r="G128" s="125" t="s">
        <v>358</v>
      </c>
      <c r="H128" s="125" t="s">
        <v>225</v>
      </c>
      <c r="I128" s="245" t="s">
        <v>5</v>
      </c>
      <c r="J128" s="186" t="s">
        <v>371</v>
      </c>
      <c r="K128" s="186">
        <f>35686.81+30527.68+16041.8+37727.51+20000+10163.69+97000+10778.37+88545.99</f>
        <v>346471.85</v>
      </c>
      <c r="L128" s="186">
        <f>K128</f>
        <v>346471.85</v>
      </c>
      <c r="M128" s="129" t="s">
        <v>376</v>
      </c>
      <c r="N128" s="129"/>
      <c r="O128" s="129"/>
      <c r="P128" s="129"/>
      <c r="Q128" s="129"/>
    </row>
    <row r="129" spans="1:17" s="124" customFormat="1" ht="20.399999999999999" x14ac:dyDescent="0.25">
      <c r="A129" s="231"/>
      <c r="B129" s="241" t="s">
        <v>362</v>
      </c>
      <c r="C129" s="262" t="s">
        <v>355</v>
      </c>
      <c r="D129" s="126" t="s">
        <v>15</v>
      </c>
      <c r="E129" s="140" t="s">
        <v>4</v>
      </c>
      <c r="F129" s="244" t="s">
        <v>369</v>
      </c>
      <c r="G129" s="125" t="s">
        <v>346</v>
      </c>
      <c r="H129" s="125" t="s">
        <v>225</v>
      </c>
      <c r="I129" s="245" t="s">
        <v>5</v>
      </c>
      <c r="J129" s="186">
        <v>52863.33</v>
      </c>
      <c r="K129" s="186">
        <f>32777.71+10000+5370.89</f>
        <v>48148.6</v>
      </c>
      <c r="L129" s="186">
        <f>K129</f>
        <v>48148.6</v>
      </c>
      <c r="M129" s="129" t="s">
        <v>375</v>
      </c>
      <c r="N129" s="129"/>
      <c r="O129" s="129"/>
      <c r="P129" s="129"/>
      <c r="Q129" s="129"/>
    </row>
    <row r="130" spans="1:17" s="124" customFormat="1" ht="20.399999999999999" x14ac:dyDescent="0.25">
      <c r="A130" s="231"/>
      <c r="B130" s="241" t="s">
        <v>363</v>
      </c>
      <c r="C130" s="256" t="s">
        <v>351</v>
      </c>
      <c r="D130" s="126" t="s">
        <v>15</v>
      </c>
      <c r="E130" s="140" t="s">
        <v>4</v>
      </c>
      <c r="F130" s="244" t="s">
        <v>370</v>
      </c>
      <c r="G130" s="125" t="s">
        <v>359</v>
      </c>
      <c r="H130" s="125" t="s">
        <v>318</v>
      </c>
      <c r="I130" s="245" t="s">
        <v>5</v>
      </c>
      <c r="J130" s="186">
        <v>914836.29</v>
      </c>
      <c r="K130" s="186">
        <f>81758.74+143506.68+73351.54+72900.64+123489.55+100089.5+145270.47+50000+13683+161803.11+74124.55</f>
        <v>1039977.7799999999</v>
      </c>
      <c r="L130" s="186">
        <f>100000+K130</f>
        <v>1139977.7799999998</v>
      </c>
      <c r="M130" s="129" t="s">
        <v>338</v>
      </c>
      <c r="N130" s="129"/>
      <c r="O130" s="129"/>
      <c r="P130" s="129"/>
      <c r="Q130" s="129"/>
    </row>
    <row r="131" spans="1:17" x14ac:dyDescent="0.25">
      <c r="A131" s="142"/>
      <c r="B131" s="143"/>
      <c r="C131" s="130"/>
      <c r="D131" s="145"/>
      <c r="E131" s="173"/>
      <c r="F131" s="184"/>
      <c r="G131" s="149"/>
      <c r="H131" s="149"/>
      <c r="I131" s="149"/>
      <c r="J131" s="173"/>
      <c r="K131" s="173"/>
      <c r="L131" s="173"/>
      <c r="M131" s="129"/>
      <c r="N131" s="129"/>
      <c r="O131" s="129"/>
      <c r="P131" s="129"/>
      <c r="Q131" s="129"/>
    </row>
    <row r="132" spans="1:17" x14ac:dyDescent="0.25">
      <c r="A132" s="20"/>
      <c r="B132" s="28"/>
      <c r="C132" s="108"/>
      <c r="D132" s="58"/>
      <c r="E132" s="131"/>
      <c r="F132" s="19"/>
      <c r="G132" s="9"/>
      <c r="H132" s="9"/>
      <c r="I132" s="9"/>
      <c r="J132" s="10"/>
      <c r="K132" s="10"/>
      <c r="L132" s="10"/>
    </row>
    <row r="133" spans="1:17" x14ac:dyDescent="0.25">
      <c r="A133" s="20"/>
      <c r="B133" s="28"/>
      <c r="C133" s="108"/>
      <c r="D133" s="58"/>
      <c r="E133" s="131"/>
      <c r="F133" s="19"/>
      <c r="G133" s="9"/>
      <c r="H133" s="9"/>
      <c r="I133" s="9"/>
      <c r="J133" s="10"/>
      <c r="K133" s="10"/>
      <c r="L133" s="10"/>
    </row>
    <row r="134" spans="1:17" x14ac:dyDescent="0.25">
      <c r="A134" s="20"/>
      <c r="B134" s="28"/>
      <c r="C134" s="108"/>
      <c r="D134" s="58"/>
      <c r="E134" s="131"/>
      <c r="F134" s="19"/>
      <c r="G134" s="9"/>
      <c r="H134" s="9"/>
      <c r="I134" s="9"/>
      <c r="J134" s="10"/>
      <c r="K134" s="10"/>
      <c r="L134" s="10"/>
    </row>
    <row r="135" spans="1:17" ht="12.75" customHeight="1" thickBot="1" x14ac:dyDescent="0.3">
      <c r="A135" s="40"/>
      <c r="B135" s="40"/>
      <c r="C135" s="40"/>
      <c r="D135" s="40"/>
      <c r="E135" s="158"/>
      <c r="F135" s="40"/>
      <c r="G135" s="9"/>
      <c r="H135" s="9"/>
      <c r="I135" s="2"/>
      <c r="J135" s="42"/>
      <c r="K135" s="42"/>
      <c r="L135" s="42"/>
    </row>
    <row r="136" spans="1:17" s="129" customFormat="1" ht="12.75" customHeight="1" thickBot="1" x14ac:dyDescent="0.3">
      <c r="F136" s="912" t="s">
        <v>313</v>
      </c>
      <c r="G136" s="913"/>
      <c r="H136" s="913"/>
      <c r="I136" s="914"/>
      <c r="J136" s="227">
        <f>SUM(J114:J134)</f>
        <v>7512342.8199999994</v>
      </c>
      <c r="K136" s="227">
        <f>SUM(K114:K134)</f>
        <v>4253143.3600000003</v>
      </c>
      <c r="L136" s="227">
        <f>SUM(L114:L134)</f>
        <v>5334586.9499999993</v>
      </c>
    </row>
    <row r="137" spans="1:17" s="196" customFormat="1" ht="12.75" customHeight="1" thickBot="1" x14ac:dyDescent="0.3">
      <c r="E137" s="129"/>
      <c r="F137" s="905"/>
      <c r="G137" s="906"/>
      <c r="H137" s="906"/>
      <c r="I137" s="907"/>
      <c r="J137" s="197"/>
      <c r="K137" s="197"/>
      <c r="L137" s="197"/>
    </row>
    <row r="138" spans="1:17" ht="27" customHeight="1" x14ac:dyDescent="0.4">
      <c r="A138" s="899" t="s">
        <v>20</v>
      </c>
      <c r="B138" s="899"/>
      <c r="C138" s="900"/>
      <c r="D138" s="900"/>
      <c r="E138" s="900"/>
      <c r="F138" s="900"/>
      <c r="G138" s="900"/>
      <c r="H138" s="900"/>
      <c r="I138" s="900"/>
      <c r="J138" s="900"/>
    </row>
    <row r="139" spans="1:17" ht="18" customHeight="1" x14ac:dyDescent="0.3">
      <c r="A139" s="901" t="s">
        <v>21</v>
      </c>
      <c r="B139" s="901"/>
      <c r="C139" s="901"/>
      <c r="D139" s="901"/>
      <c r="E139" s="901"/>
      <c r="F139" s="901"/>
      <c r="G139" s="901"/>
      <c r="H139" s="901"/>
      <c r="I139" s="901"/>
      <c r="J139" s="901"/>
    </row>
    <row r="140" spans="1:17" ht="12" customHeight="1" x14ac:dyDescent="0.3">
      <c r="A140" s="901"/>
      <c r="B140" s="901"/>
      <c r="C140" s="901"/>
      <c r="D140" s="901"/>
      <c r="E140" s="901"/>
      <c r="F140" s="901"/>
      <c r="G140" s="901"/>
      <c r="H140" s="901"/>
      <c r="I140" s="901"/>
      <c r="J140" s="901"/>
    </row>
    <row r="141" spans="1:17" ht="15.6" x14ac:dyDescent="0.3">
      <c r="A141" s="902" t="s">
        <v>22</v>
      </c>
      <c r="B141" s="902"/>
      <c r="C141" s="902"/>
      <c r="D141" s="902"/>
      <c r="E141" s="902"/>
      <c r="F141" s="902"/>
      <c r="G141" s="902"/>
      <c r="H141" s="902"/>
      <c r="I141" s="902"/>
      <c r="J141" s="902"/>
    </row>
    <row r="142" spans="1:17" ht="9.9" customHeight="1" thickBot="1" x14ac:dyDescent="0.35">
      <c r="A142" s="4"/>
      <c r="B142" s="4"/>
      <c r="C142" s="4"/>
      <c r="D142" s="4"/>
      <c r="E142" s="327"/>
      <c r="F142" s="4"/>
      <c r="G142" s="4"/>
      <c r="H142" s="4"/>
      <c r="I142" s="4"/>
      <c r="J142" s="59"/>
      <c r="K142" s="59"/>
      <c r="L142" s="59"/>
    </row>
    <row r="143" spans="1:17" ht="12" customHeight="1" x14ac:dyDescent="0.3">
      <c r="A143" s="52" t="s">
        <v>3</v>
      </c>
      <c r="B143" s="53"/>
      <c r="C143" s="53"/>
      <c r="D143" s="53"/>
      <c r="E143" s="328"/>
      <c r="F143" s="54" t="s">
        <v>14</v>
      </c>
      <c r="G143" s="53"/>
      <c r="H143" s="53"/>
      <c r="I143" s="53"/>
      <c r="J143" s="60"/>
      <c r="K143" s="60"/>
      <c r="L143" s="61"/>
    </row>
    <row r="144" spans="1:17" ht="15.6" x14ac:dyDescent="0.3">
      <c r="A144" s="898" t="s">
        <v>20</v>
      </c>
      <c r="B144" s="897"/>
      <c r="C144" s="897"/>
      <c r="D144" s="897"/>
      <c r="E144" s="329"/>
      <c r="F144" s="193">
        <v>2015</v>
      </c>
      <c r="G144" s="193"/>
      <c r="H144" s="193"/>
      <c r="I144" s="193"/>
      <c r="J144" s="62"/>
      <c r="K144" s="62"/>
      <c r="L144" s="63"/>
    </row>
    <row r="145" spans="1:13" ht="8.1" customHeight="1" x14ac:dyDescent="0.3">
      <c r="A145" s="192"/>
      <c r="B145" s="193"/>
      <c r="C145" s="193"/>
      <c r="D145" s="193"/>
      <c r="E145" s="329"/>
      <c r="F145" s="193"/>
      <c r="G145" s="193"/>
      <c r="H145" s="193"/>
      <c r="I145" s="193"/>
      <c r="J145" s="62"/>
      <c r="K145" s="62"/>
      <c r="L145" s="63"/>
    </row>
    <row r="146" spans="1:13" ht="12" customHeight="1" x14ac:dyDescent="0.3">
      <c r="A146" s="5" t="s">
        <v>13</v>
      </c>
      <c r="B146" s="193"/>
      <c r="C146" s="193"/>
      <c r="D146" s="193"/>
      <c r="E146" s="329"/>
      <c r="F146" s="6" t="s">
        <v>6</v>
      </c>
      <c r="G146" s="128"/>
      <c r="H146" s="128"/>
      <c r="I146" s="128"/>
      <c r="J146" s="64"/>
      <c r="K146" s="64"/>
      <c r="L146" s="65"/>
    </row>
    <row r="147" spans="1:13" ht="15.6" x14ac:dyDescent="0.3">
      <c r="A147" s="898" t="s">
        <v>24</v>
      </c>
      <c r="B147" s="897"/>
      <c r="C147" s="897"/>
      <c r="D147" s="897"/>
      <c r="E147" s="329"/>
      <c r="F147" s="897" t="s">
        <v>893</v>
      </c>
      <c r="G147" s="897"/>
      <c r="H147" s="897"/>
      <c r="I147" s="897"/>
      <c r="J147" s="897"/>
      <c r="K147" s="66"/>
      <c r="L147" s="67"/>
    </row>
    <row r="148" spans="1:13" ht="12.75" customHeight="1" thickBot="1" x14ac:dyDescent="0.3">
      <c r="A148" s="921"/>
      <c r="B148" s="922"/>
      <c r="C148" s="922"/>
      <c r="D148" s="922"/>
      <c r="E148" s="922"/>
      <c r="F148" s="922"/>
      <c r="G148" s="922"/>
      <c r="H148" s="922"/>
      <c r="I148" s="922"/>
      <c r="J148" s="922"/>
      <c r="K148" s="68"/>
      <c r="L148" s="69"/>
    </row>
    <row r="149" spans="1:13" ht="13.8" thickBot="1" x14ac:dyDescent="0.3">
      <c r="A149" s="923" t="s">
        <v>17</v>
      </c>
      <c r="B149" s="903" t="s">
        <v>0</v>
      </c>
      <c r="C149" s="904"/>
      <c r="D149" s="904"/>
      <c r="E149" s="926"/>
      <c r="F149" s="927" t="s">
        <v>11</v>
      </c>
      <c r="G149" s="930" t="s">
        <v>2</v>
      </c>
      <c r="H149" s="930" t="s">
        <v>18</v>
      </c>
      <c r="I149" s="903" t="s">
        <v>1</v>
      </c>
      <c r="J149" s="904"/>
      <c r="K149" s="904"/>
      <c r="L149" s="926"/>
    </row>
    <row r="150" spans="1:13" ht="12.75" customHeight="1" x14ac:dyDescent="0.25">
      <c r="A150" s="924"/>
      <c r="B150" s="923" t="s">
        <v>7</v>
      </c>
      <c r="C150" s="933" t="s">
        <v>9</v>
      </c>
      <c r="D150" s="936" t="s">
        <v>8</v>
      </c>
      <c r="E150" s="915" t="s">
        <v>10</v>
      </c>
      <c r="F150" s="928"/>
      <c r="G150" s="931"/>
      <c r="H150" s="931"/>
      <c r="I150" s="894" t="s">
        <v>12</v>
      </c>
      <c r="J150" s="918" t="s">
        <v>32</v>
      </c>
      <c r="K150" s="918" t="s">
        <v>200</v>
      </c>
      <c r="L150" s="918" t="s">
        <v>201</v>
      </c>
    </row>
    <row r="151" spans="1:13" ht="12" customHeight="1" x14ac:dyDescent="0.25">
      <c r="A151" s="924"/>
      <c r="B151" s="924"/>
      <c r="C151" s="934"/>
      <c r="D151" s="937"/>
      <c r="E151" s="916"/>
      <c r="F151" s="928"/>
      <c r="G151" s="931"/>
      <c r="H151" s="931"/>
      <c r="I151" s="895"/>
      <c r="J151" s="919"/>
      <c r="K151" s="919"/>
      <c r="L151" s="919"/>
    </row>
    <row r="152" spans="1:13" ht="21.75" customHeight="1" thickBot="1" x14ac:dyDescent="0.3">
      <c r="A152" s="925"/>
      <c r="B152" s="925"/>
      <c r="C152" s="935"/>
      <c r="D152" s="938"/>
      <c r="E152" s="917"/>
      <c r="F152" s="929"/>
      <c r="G152" s="932"/>
      <c r="H152" s="932"/>
      <c r="I152" s="896"/>
      <c r="J152" s="920"/>
      <c r="K152" s="920"/>
      <c r="L152" s="920"/>
    </row>
    <row r="153" spans="1:13" s="342" customFormat="1" ht="21.75" customHeight="1" thickBot="1" x14ac:dyDescent="0.3">
      <c r="A153" s="360"/>
      <c r="B153" s="360"/>
      <c r="C153" s="361" t="s">
        <v>31</v>
      </c>
      <c r="D153" s="362"/>
      <c r="E153" s="363"/>
      <c r="F153" s="363"/>
      <c r="G153" s="364"/>
      <c r="H153" s="364"/>
      <c r="I153" s="365"/>
      <c r="J153" s="366"/>
      <c r="K153" s="366"/>
      <c r="L153" s="366"/>
    </row>
    <row r="154" spans="1:13" s="129" customFormat="1" ht="27.75" customHeight="1" thickBot="1" x14ac:dyDescent="0.3">
      <c r="A154" s="349"/>
      <c r="B154" s="349"/>
      <c r="C154" s="170" t="s">
        <v>27</v>
      </c>
      <c r="D154" s="350" t="s">
        <v>16</v>
      </c>
      <c r="E154" s="340" t="s">
        <v>4</v>
      </c>
      <c r="F154" s="351" t="s">
        <v>26</v>
      </c>
      <c r="G154" s="341" t="s">
        <v>30</v>
      </c>
      <c r="H154" s="341" t="s">
        <v>19</v>
      </c>
      <c r="I154" s="352" t="s">
        <v>5</v>
      </c>
      <c r="J154" s="353">
        <v>5553367.8799999999</v>
      </c>
      <c r="K154" s="354">
        <f>463268.41+408316.44+61001.15+489305.93+456866.05+499929.88+20431.91+504453.43+521742.18+511672.75+523940.68+98807.85+49403.43+524698.39+148211.28+98808.83+517884.48+524682.66+520802.86</f>
        <v>6944228.5900000008</v>
      </c>
      <c r="L154" s="355">
        <f>K154+532271.57+529591.57+70348.18</f>
        <v>8076439.9100000011</v>
      </c>
      <c r="M154" s="185" t="s">
        <v>331</v>
      </c>
    </row>
    <row r="155" spans="1:13" s="129" customFormat="1" ht="21.75" customHeight="1" thickBot="1" x14ac:dyDescent="0.3">
      <c r="A155" s="349"/>
      <c r="B155" s="349"/>
      <c r="C155" s="356"/>
      <c r="D155" s="357"/>
      <c r="E155" s="339"/>
      <c r="F155" s="339"/>
      <c r="G155" s="358"/>
      <c r="H155" s="358"/>
      <c r="I155" s="359"/>
      <c r="J155" s="355"/>
      <c r="K155" s="355"/>
      <c r="L155" s="355"/>
    </row>
    <row r="156" spans="1:13" s="342" customFormat="1" ht="21.75" customHeight="1" thickBot="1" x14ac:dyDescent="0.3">
      <c r="A156" s="360"/>
      <c r="B156" s="360"/>
      <c r="C156" s="361" t="s">
        <v>585</v>
      </c>
      <c r="D156" s="362"/>
      <c r="E156" s="363"/>
      <c r="F156" s="363"/>
      <c r="G156" s="364"/>
      <c r="H156" s="364"/>
      <c r="I156" s="365"/>
      <c r="J156" s="366"/>
      <c r="K156" s="366"/>
      <c r="L156" s="366"/>
    </row>
    <row r="157" spans="1:13" s="129" customFormat="1" ht="25.5" customHeight="1" thickBot="1" x14ac:dyDescent="0.3">
      <c r="A157" s="349"/>
      <c r="B157" s="349"/>
      <c r="C157" s="356"/>
      <c r="D157" s="357"/>
      <c r="E157" s="339"/>
      <c r="F157" s="339"/>
      <c r="G157" s="358"/>
      <c r="H157" s="358"/>
      <c r="I157" s="359"/>
      <c r="J157" s="355"/>
      <c r="K157" s="355"/>
      <c r="L157" s="355"/>
    </row>
    <row r="158" spans="1:13" s="129" customFormat="1" ht="21.75" customHeight="1" thickBot="1" x14ac:dyDescent="0.3">
      <c r="A158" s="349"/>
      <c r="B158" s="349"/>
      <c r="C158" s="356"/>
      <c r="D158" s="357"/>
      <c r="E158" s="339"/>
      <c r="F158" s="339"/>
      <c r="G158" s="358"/>
      <c r="H158" s="358"/>
      <c r="I158" s="359"/>
      <c r="J158" s="355"/>
      <c r="K158" s="355"/>
      <c r="L158" s="355"/>
    </row>
    <row r="159" spans="1:13" s="342" customFormat="1" ht="21.75" customHeight="1" thickBot="1" x14ac:dyDescent="0.3">
      <c r="A159" s="360"/>
      <c r="B159" s="360"/>
      <c r="C159" s="361" t="s">
        <v>35</v>
      </c>
      <c r="D159" s="362"/>
      <c r="E159" s="363"/>
      <c r="F159" s="363"/>
      <c r="G159" s="364"/>
      <c r="H159" s="364"/>
      <c r="I159" s="365"/>
      <c r="J159" s="366"/>
      <c r="K159" s="367"/>
      <c r="L159" s="366"/>
    </row>
    <row r="160" spans="1:13" s="124" customFormat="1" ht="24.75" customHeight="1" thickBot="1" x14ac:dyDescent="0.3">
      <c r="A160" s="451"/>
      <c r="B160" s="451"/>
      <c r="C160" s="277" t="s">
        <v>42</v>
      </c>
      <c r="D160" s="472" t="s">
        <v>15</v>
      </c>
      <c r="E160" s="453" t="s">
        <v>223</v>
      </c>
      <c r="F160" s="473" t="s">
        <v>45</v>
      </c>
      <c r="G160" s="461" t="s">
        <v>41</v>
      </c>
      <c r="H160" s="474" t="s">
        <v>19</v>
      </c>
      <c r="I160" s="468" t="s">
        <v>5</v>
      </c>
      <c r="J160" s="475">
        <v>955272.36</v>
      </c>
      <c r="K160" s="464">
        <f>109000+91653.82</f>
        <v>200653.82</v>
      </c>
      <c r="L160" s="489">
        <f>100000+100000+49000+K160</f>
        <v>449653.82</v>
      </c>
      <c r="M160" s="457" t="s">
        <v>331</v>
      </c>
    </row>
    <row r="161" spans="1:17" s="124" customFormat="1" ht="39" customHeight="1" thickBot="1" x14ac:dyDescent="0.3">
      <c r="A161" s="451"/>
      <c r="B161" s="451"/>
      <c r="C161" s="471" t="s">
        <v>113</v>
      </c>
      <c r="D161" s="126" t="s">
        <v>15</v>
      </c>
      <c r="E161" s="453" t="s">
        <v>223</v>
      </c>
      <c r="F161" s="467" t="s">
        <v>131</v>
      </c>
      <c r="G161" s="461" t="s">
        <v>117</v>
      </c>
      <c r="H161" s="462" t="s">
        <v>19</v>
      </c>
      <c r="I161" s="468" t="s">
        <v>5</v>
      </c>
      <c r="J161" s="469">
        <v>1398895.26</v>
      </c>
      <c r="K161" s="475">
        <v>0</v>
      </c>
      <c r="L161" s="464">
        <f>204443.3+293295.41+58825.49+50719.06+40650.42+58973.3+100000+150000+85000+70000+22692.85+90000+46000+94706.1</f>
        <v>1365305.9300000002</v>
      </c>
      <c r="M161" s="457" t="s">
        <v>588</v>
      </c>
    </row>
    <row r="162" spans="1:17" s="124" customFormat="1" ht="28.5" customHeight="1" thickBot="1" x14ac:dyDescent="0.3">
      <c r="A162" s="451"/>
      <c r="B162" s="451"/>
      <c r="C162" s="276" t="s">
        <v>120</v>
      </c>
      <c r="D162" s="465" t="s">
        <v>15</v>
      </c>
      <c r="E162" s="453" t="s">
        <v>223</v>
      </c>
      <c r="F162" s="473" t="s">
        <v>138</v>
      </c>
      <c r="G162" s="455" t="s">
        <v>204</v>
      </c>
      <c r="H162" s="474" t="s">
        <v>143</v>
      </c>
      <c r="I162" s="468" t="s">
        <v>5</v>
      </c>
      <c r="J162" s="464">
        <v>1991023.52</v>
      </c>
      <c r="K162" s="464">
        <f>17086.18+33745.21</f>
        <v>50831.39</v>
      </c>
      <c r="L162" s="476">
        <f>17086.18+33745.21+57014.08+42469.58</f>
        <v>150315.04999999999</v>
      </c>
      <c r="M162" s="457" t="s">
        <v>331</v>
      </c>
    </row>
    <row r="163" spans="1:17" s="342" customFormat="1" ht="21.75" customHeight="1" thickBot="1" x14ac:dyDescent="0.3">
      <c r="A163" s="360"/>
      <c r="B163" s="360"/>
      <c r="C163" s="368" t="s">
        <v>176</v>
      </c>
      <c r="D163" s="362"/>
      <c r="E163" s="369"/>
      <c r="F163" s="363"/>
      <c r="G163" s="364"/>
      <c r="H163" s="364"/>
      <c r="I163" s="365"/>
      <c r="J163" s="370"/>
      <c r="K163" s="371"/>
      <c r="L163" s="372"/>
    </row>
    <row r="164" spans="1:17" s="124" customFormat="1" ht="21.75" customHeight="1" thickBot="1" x14ac:dyDescent="0.3">
      <c r="A164" s="451"/>
      <c r="B164" s="458"/>
      <c r="C164" s="233" t="s">
        <v>159</v>
      </c>
      <c r="D164" s="465" t="s">
        <v>15</v>
      </c>
      <c r="E164" s="466" t="s">
        <v>4</v>
      </c>
      <c r="F164" s="467" t="s">
        <v>170</v>
      </c>
      <c r="G164" s="461" t="s">
        <v>209</v>
      </c>
      <c r="H164" s="462" t="s">
        <v>19</v>
      </c>
      <c r="I164" s="468" t="s">
        <v>5</v>
      </c>
      <c r="J164" s="469">
        <v>565499.46</v>
      </c>
      <c r="K164" s="470">
        <v>0</v>
      </c>
      <c r="L164" s="470">
        <f>31595.11+38011.76+90102.37+57572.87+66023.57+134392.12+102359.99</f>
        <v>520057.79</v>
      </c>
      <c r="M164" s="124" t="s">
        <v>811</v>
      </c>
    </row>
    <row r="165" spans="1:17" s="124" customFormat="1" ht="34.5" customHeight="1" thickBot="1" x14ac:dyDescent="0.3">
      <c r="A165" s="451"/>
      <c r="B165" s="458"/>
      <c r="C165" s="233" t="s">
        <v>165</v>
      </c>
      <c r="D165" s="459" t="s">
        <v>15</v>
      </c>
      <c r="E165" s="453" t="s">
        <v>223</v>
      </c>
      <c r="F165" s="460" t="s">
        <v>173</v>
      </c>
      <c r="G165" s="461" t="s">
        <v>33</v>
      </c>
      <c r="H165" s="462" t="s">
        <v>107</v>
      </c>
      <c r="I165" s="463" t="s">
        <v>5</v>
      </c>
      <c r="J165" s="464">
        <v>3278769.45</v>
      </c>
      <c r="K165" s="464">
        <v>0</v>
      </c>
      <c r="L165" s="464">
        <f>665499.85+721758.03+277803.79+11575.16+18719.53+449268.64+79181.08</f>
        <v>2223806.08</v>
      </c>
      <c r="M165" s="457" t="s">
        <v>333</v>
      </c>
      <c r="N165" s="452">
        <f>41968.33+383835.1+14666.99+134141.8+72729.91+47259.06+79905.69+107488.87+107017.46+103765</f>
        <v>1092778.21</v>
      </c>
    </row>
    <row r="166" spans="1:17" s="124" customFormat="1" ht="27" customHeight="1" thickBot="1" x14ac:dyDescent="0.3">
      <c r="A166" s="451"/>
      <c r="B166" s="451"/>
      <c r="C166" s="249" t="s">
        <v>181</v>
      </c>
      <c r="D166" s="452" t="s">
        <v>15</v>
      </c>
      <c r="E166" s="453" t="s">
        <v>223</v>
      </c>
      <c r="F166" s="454" t="s">
        <v>299</v>
      </c>
      <c r="G166" s="455" t="s">
        <v>308</v>
      </c>
      <c r="H166" s="455" t="s">
        <v>199</v>
      </c>
      <c r="I166" s="456" t="s">
        <v>5</v>
      </c>
      <c r="J166" s="452">
        <v>2635231.1</v>
      </c>
      <c r="K166" s="452">
        <f>85268.23+9323.18+15923.14+145630.17</f>
        <v>256144.72000000003</v>
      </c>
      <c r="L166" s="452">
        <f>89274+72132.63+72104.1+7883.83+101943.58+11146.46+41968.33+383835.1+14666.99+134141.8+47259.06+72729.91+79905.69+107488.87+107017.46+103765+424913.34+K166</f>
        <v>2128320.87</v>
      </c>
      <c r="M166" s="457" t="s">
        <v>336</v>
      </c>
    </row>
    <row r="167" spans="1:17" s="129" customFormat="1" ht="27" customHeight="1" thickBot="1" x14ac:dyDescent="0.3">
      <c r="A167" s="349"/>
      <c r="B167" s="349"/>
      <c r="C167" s="356"/>
      <c r="D167" s="357"/>
      <c r="E167" s="339"/>
      <c r="F167" s="339"/>
      <c r="G167" s="358"/>
      <c r="H167" s="358"/>
      <c r="I167" s="359"/>
      <c r="J167" s="355"/>
      <c r="K167" s="355"/>
      <c r="L167" s="355"/>
      <c r="M167" s="185"/>
    </row>
    <row r="168" spans="1:17" s="342" customFormat="1" ht="21.75" customHeight="1" thickBot="1" x14ac:dyDescent="0.3">
      <c r="A168" s="360"/>
      <c r="B168" s="360"/>
      <c r="C168" s="361" t="s">
        <v>310</v>
      </c>
      <c r="D168" s="373"/>
      <c r="E168" s="369"/>
      <c r="F168" s="369"/>
      <c r="G168" s="374"/>
      <c r="H168" s="374"/>
      <c r="I168" s="375"/>
      <c r="J168" s="367"/>
      <c r="K168" s="367"/>
      <c r="L168" s="366"/>
    </row>
    <row r="169" spans="1:17" s="124" customFormat="1" ht="21.75" customHeight="1" thickBot="1" x14ac:dyDescent="0.3">
      <c r="A169" s="451"/>
      <c r="B169" s="451"/>
      <c r="C169" s="484" t="s">
        <v>312</v>
      </c>
      <c r="D169" s="464" t="s">
        <v>15</v>
      </c>
      <c r="E169" s="453" t="s">
        <v>223</v>
      </c>
      <c r="F169" s="454" t="s">
        <v>311</v>
      </c>
      <c r="G169" s="455" t="s">
        <v>309</v>
      </c>
      <c r="H169" s="455" t="s">
        <v>318</v>
      </c>
      <c r="I169" s="485" t="s">
        <v>5</v>
      </c>
      <c r="J169" s="486">
        <v>1647667</v>
      </c>
      <c r="K169" s="464">
        <v>0</v>
      </c>
      <c r="L169" s="487">
        <f>29025.96+290259.6+113499.16+11349.91</f>
        <v>444134.62999999995</v>
      </c>
      <c r="M169" s="457" t="s">
        <v>336</v>
      </c>
    </row>
    <row r="170" spans="1:17" s="124" customFormat="1" ht="27" customHeight="1" thickBot="1" x14ac:dyDescent="0.3">
      <c r="A170" s="451"/>
      <c r="B170" s="451"/>
      <c r="C170" s="259" t="s">
        <v>373</v>
      </c>
      <c r="D170" s="465" t="s">
        <v>15</v>
      </c>
      <c r="E170" s="474" t="s">
        <v>4</v>
      </c>
      <c r="F170" s="473" t="s">
        <v>314</v>
      </c>
      <c r="G170" s="474" t="s">
        <v>315</v>
      </c>
      <c r="H170" s="474" t="s">
        <v>318</v>
      </c>
      <c r="I170" s="468" t="s">
        <v>5</v>
      </c>
      <c r="J170" s="465">
        <v>1656066.52</v>
      </c>
      <c r="K170" s="465">
        <f>50038.8+50039.03</f>
        <v>100077.83</v>
      </c>
      <c r="L170" s="482">
        <f>119719.93+104703.75+257683.2+115743.43+230765.69+36084.48+41282.05+K170</f>
        <v>1006060.36</v>
      </c>
      <c r="M170" s="483" t="s">
        <v>337</v>
      </c>
    </row>
    <row r="171" spans="1:17" s="124" customFormat="1" ht="27" customHeight="1" thickBot="1" x14ac:dyDescent="0.3">
      <c r="A171" s="451"/>
      <c r="B171" s="451"/>
      <c r="C171" s="242" t="s">
        <v>372</v>
      </c>
      <c r="D171" s="465" t="s">
        <v>15</v>
      </c>
      <c r="E171" s="474" t="s">
        <v>587</v>
      </c>
      <c r="F171" s="473" t="s">
        <v>320</v>
      </c>
      <c r="G171" s="474" t="s">
        <v>317</v>
      </c>
      <c r="H171" s="474" t="s">
        <v>225</v>
      </c>
      <c r="I171" s="468" t="s">
        <v>5</v>
      </c>
      <c r="J171" s="480">
        <v>1200101.8400000001</v>
      </c>
      <c r="K171" s="480">
        <v>0</v>
      </c>
      <c r="L171" s="480">
        <f>152780.28+131248.29+162557.42+153181.05+133581.58+200000+52660.68+169962.66+60000+26221.46+8182.23+94998.06+100331.58+K171</f>
        <v>1445705.29</v>
      </c>
      <c r="M171" s="457" t="s">
        <v>337</v>
      </c>
    </row>
    <row r="172" spans="1:17" s="124" customFormat="1" ht="30.75" customHeight="1" thickBot="1" x14ac:dyDescent="0.3">
      <c r="A172" s="451"/>
      <c r="B172" s="451"/>
      <c r="C172" s="242" t="s">
        <v>353</v>
      </c>
      <c r="D172" s="465" t="s">
        <v>15</v>
      </c>
      <c r="E172" s="478" t="s">
        <v>4</v>
      </c>
      <c r="F172" s="454" t="s">
        <v>367</v>
      </c>
      <c r="G172" s="479" t="s">
        <v>357</v>
      </c>
      <c r="H172" s="474" t="s">
        <v>225</v>
      </c>
      <c r="I172" s="468" t="s">
        <v>5</v>
      </c>
      <c r="J172" s="480">
        <v>593183.67000000004</v>
      </c>
      <c r="K172" s="480">
        <v>0</v>
      </c>
      <c r="L172" s="481">
        <f>129214.62+52708.1+52708.1+112601.28+112999.2</f>
        <v>460231.3</v>
      </c>
      <c r="M172" s="457" t="s">
        <v>376</v>
      </c>
    </row>
    <row r="173" spans="1:17" s="124" customFormat="1" ht="30.75" customHeight="1" thickBot="1" x14ac:dyDescent="0.3">
      <c r="A173" s="451"/>
      <c r="B173" s="458"/>
      <c r="C173" s="477" t="s">
        <v>354</v>
      </c>
      <c r="D173" s="465" t="s">
        <v>15</v>
      </c>
      <c r="E173" s="478" t="s">
        <v>4</v>
      </c>
      <c r="F173" s="454" t="s">
        <v>368</v>
      </c>
      <c r="G173" s="479" t="s">
        <v>358</v>
      </c>
      <c r="H173" s="474" t="s">
        <v>225</v>
      </c>
      <c r="I173" s="468" t="s">
        <v>5</v>
      </c>
      <c r="J173" s="480" t="s">
        <v>371</v>
      </c>
      <c r="K173" s="480">
        <f>31000+29529.55+37779.72+45957.19</f>
        <v>144266.46000000002</v>
      </c>
      <c r="L173" s="476">
        <f>35686.81+30527.68+16041.8+37727.51+20000+10163.69+97000+10778.37+88545.99+K173</f>
        <v>490738.31</v>
      </c>
      <c r="M173" s="457" t="s">
        <v>376</v>
      </c>
    </row>
    <row r="174" spans="1:17" s="342" customFormat="1" ht="12.75" customHeight="1" thickBot="1" x14ac:dyDescent="0.3">
      <c r="A174" s="376"/>
      <c r="B174" s="377"/>
      <c r="C174" s="361" t="s">
        <v>409</v>
      </c>
      <c r="D174" s="378"/>
      <c r="E174" s="378"/>
      <c r="F174" s="378"/>
      <c r="G174" s="378"/>
      <c r="H174" s="378"/>
      <c r="I174" s="379"/>
      <c r="J174" s="380"/>
      <c r="K174" s="380"/>
      <c r="L174" s="380"/>
    </row>
    <row r="175" spans="1:17" s="342" customFormat="1" ht="29.25" customHeight="1" x14ac:dyDescent="0.25">
      <c r="A175" s="943" t="s">
        <v>804</v>
      </c>
      <c r="B175" s="944"/>
      <c r="C175" s="944"/>
      <c r="D175" s="944"/>
      <c r="E175" s="944"/>
      <c r="F175" s="944"/>
      <c r="G175" s="944"/>
      <c r="H175" s="944"/>
      <c r="I175" s="944"/>
      <c r="J175" s="944"/>
      <c r="K175" s="944"/>
      <c r="L175" s="944"/>
      <c r="M175" s="381"/>
      <c r="N175" s="381"/>
      <c r="O175" s="347"/>
      <c r="P175" s="381"/>
      <c r="Q175" s="382"/>
    </row>
    <row r="176" spans="1:17" s="129" customFormat="1" ht="30.75" customHeight="1" x14ac:dyDescent="0.25">
      <c r="A176" s="436"/>
      <c r="B176" s="438" t="s">
        <v>382</v>
      </c>
      <c r="C176" s="230" t="s">
        <v>381</v>
      </c>
      <c r="D176" s="386" t="s">
        <v>15</v>
      </c>
      <c r="E176" s="387" t="s">
        <v>221</v>
      </c>
      <c r="F176" s="393" t="s">
        <v>385</v>
      </c>
      <c r="G176" s="389" t="s">
        <v>383</v>
      </c>
      <c r="H176" s="390" t="s">
        <v>225</v>
      </c>
      <c r="I176" s="391" t="s">
        <v>398</v>
      </c>
      <c r="J176" s="394" t="s">
        <v>404</v>
      </c>
      <c r="K176" s="392">
        <f>124557.93</f>
        <v>124557.93</v>
      </c>
      <c r="L176" s="392">
        <f>135110.5+121378.11+87120.45+K176</f>
        <v>468166.99</v>
      </c>
      <c r="M176" s="129" t="s">
        <v>548</v>
      </c>
    </row>
    <row r="177" spans="1:19" s="129" customFormat="1" ht="29.25" customHeight="1" x14ac:dyDescent="0.25">
      <c r="A177" s="436"/>
      <c r="B177" s="439" t="s">
        <v>383</v>
      </c>
      <c r="C177" s="230" t="s">
        <v>584</v>
      </c>
      <c r="D177" s="386" t="s">
        <v>15</v>
      </c>
      <c r="E177" s="387" t="s">
        <v>221</v>
      </c>
      <c r="F177" s="393" t="s">
        <v>393</v>
      </c>
      <c r="G177" s="389" t="s">
        <v>392</v>
      </c>
      <c r="H177" s="390" t="s">
        <v>225</v>
      </c>
      <c r="I177" s="391" t="s">
        <v>399</v>
      </c>
      <c r="J177" s="389" t="s">
        <v>576</v>
      </c>
      <c r="K177" s="392">
        <v>0</v>
      </c>
      <c r="L177" s="392">
        <f>K177</f>
        <v>0</v>
      </c>
      <c r="M177" s="185" t="s">
        <v>340</v>
      </c>
    </row>
    <row r="178" spans="1:19" s="129" customFormat="1" ht="23.25" customHeight="1" x14ac:dyDescent="0.25">
      <c r="A178" s="436"/>
      <c r="B178" s="439" t="s">
        <v>384</v>
      </c>
      <c r="C178" s="230" t="s">
        <v>410</v>
      </c>
      <c r="D178" s="386" t="s">
        <v>15</v>
      </c>
      <c r="E178" s="387" t="s">
        <v>221</v>
      </c>
      <c r="F178" s="393" t="s">
        <v>394</v>
      </c>
      <c r="G178" s="389" t="s">
        <v>386</v>
      </c>
      <c r="H178" s="390" t="s">
        <v>225</v>
      </c>
      <c r="I178" s="391" t="s">
        <v>400</v>
      </c>
      <c r="J178" s="389" t="s">
        <v>405</v>
      </c>
      <c r="K178" s="392">
        <f>13817.15</f>
        <v>13817.15</v>
      </c>
      <c r="L178" s="392">
        <f>99536.78+K178</f>
        <v>113353.93</v>
      </c>
      <c r="M178" s="129" t="s">
        <v>549</v>
      </c>
    </row>
    <row r="179" spans="1:19" s="129" customFormat="1" ht="24.75" customHeight="1" x14ac:dyDescent="0.25">
      <c r="A179" s="436"/>
      <c r="B179" s="439" t="s">
        <v>386</v>
      </c>
      <c r="C179" s="230" t="s">
        <v>387</v>
      </c>
      <c r="D179" s="386" t="s">
        <v>15</v>
      </c>
      <c r="E179" s="387" t="s">
        <v>221</v>
      </c>
      <c r="F179" s="393" t="s">
        <v>571</v>
      </c>
      <c r="G179" s="389" t="s">
        <v>389</v>
      </c>
      <c r="H179" s="390" t="s">
        <v>225</v>
      </c>
      <c r="I179" s="391" t="s">
        <v>401</v>
      </c>
      <c r="J179" s="389" t="s">
        <v>406</v>
      </c>
      <c r="K179" s="392">
        <f>9622.32+12631.09+10183.98</f>
        <v>32437.39</v>
      </c>
      <c r="L179" s="392">
        <f>K179</f>
        <v>32437.39</v>
      </c>
      <c r="M179" s="129" t="s">
        <v>550</v>
      </c>
    </row>
    <row r="180" spans="1:19" s="129" customFormat="1" ht="24" customHeight="1" x14ac:dyDescent="0.25">
      <c r="A180" s="437"/>
      <c r="B180" s="440" t="s">
        <v>389</v>
      </c>
      <c r="C180" s="431" t="s">
        <v>573</v>
      </c>
      <c r="D180" s="396" t="s">
        <v>15</v>
      </c>
      <c r="E180" s="432" t="s">
        <v>221</v>
      </c>
      <c r="F180" s="397" t="s">
        <v>395</v>
      </c>
      <c r="G180" s="433" t="s">
        <v>384</v>
      </c>
      <c r="H180" s="398" t="s">
        <v>225</v>
      </c>
      <c r="I180" s="434" t="s">
        <v>402</v>
      </c>
      <c r="J180" s="435">
        <v>8338.0400000000009</v>
      </c>
      <c r="K180" s="435">
        <f>8338.04</f>
        <v>8338.0400000000009</v>
      </c>
      <c r="L180" s="435">
        <f>K180</f>
        <v>8338.0400000000009</v>
      </c>
      <c r="M180" s="129" t="s">
        <v>551</v>
      </c>
    </row>
    <row r="181" spans="1:19" s="129" customFormat="1" ht="23.25" customHeight="1" x14ac:dyDescent="0.25">
      <c r="A181" s="436"/>
      <c r="B181" s="441" t="s">
        <v>391</v>
      </c>
      <c r="C181" s="230" t="s">
        <v>388</v>
      </c>
      <c r="D181" s="386" t="s">
        <v>15</v>
      </c>
      <c r="E181" s="387" t="s">
        <v>221</v>
      </c>
      <c r="F181" s="393" t="s">
        <v>396</v>
      </c>
      <c r="G181" s="389" t="s">
        <v>390</v>
      </c>
      <c r="H181" s="390" t="s">
        <v>225</v>
      </c>
      <c r="I181" s="391" t="s">
        <v>403</v>
      </c>
      <c r="J181" s="389" t="s">
        <v>407</v>
      </c>
      <c r="K181" s="392">
        <f>3846.72</f>
        <v>3846.72</v>
      </c>
      <c r="L181" s="392">
        <f>K181</f>
        <v>3846.72</v>
      </c>
      <c r="M181" s="129" t="s">
        <v>550</v>
      </c>
    </row>
    <row r="182" spans="1:19" s="342" customFormat="1" ht="25.5" customHeight="1" x14ac:dyDescent="0.25">
      <c r="A182" s="910" t="s">
        <v>805</v>
      </c>
      <c r="B182" s="911"/>
      <c r="C182" s="911"/>
      <c r="D182" s="911"/>
      <c r="E182" s="911"/>
      <c r="F182" s="911"/>
      <c r="G182" s="911"/>
      <c r="H182" s="911"/>
      <c r="I182" s="911"/>
      <c r="J182" s="911"/>
      <c r="K182" s="911"/>
      <c r="L182" s="911"/>
      <c r="M182" s="383"/>
    </row>
    <row r="183" spans="1:19" s="129" customFormat="1" ht="36" customHeight="1" x14ac:dyDescent="0.25">
      <c r="A183" s="385"/>
      <c r="B183" s="385" t="s">
        <v>422</v>
      </c>
      <c r="C183" s="230" t="s">
        <v>411</v>
      </c>
      <c r="D183" s="386" t="s">
        <v>15</v>
      </c>
      <c r="E183" s="387" t="s">
        <v>221</v>
      </c>
      <c r="F183" s="388" t="s">
        <v>448</v>
      </c>
      <c r="G183" s="401" t="s">
        <v>422</v>
      </c>
      <c r="H183" s="390" t="s">
        <v>225</v>
      </c>
      <c r="I183" s="391" t="s">
        <v>5</v>
      </c>
      <c r="J183" s="389" t="s">
        <v>439</v>
      </c>
      <c r="K183" s="392">
        <f>68945.59+26866.13</f>
        <v>95811.72</v>
      </c>
      <c r="L183" s="392" t="s">
        <v>1078</v>
      </c>
      <c r="M183" s="129" t="s">
        <v>552</v>
      </c>
    </row>
    <row r="184" spans="1:19" s="129" customFormat="1" ht="30.75" customHeight="1" x14ac:dyDescent="0.25">
      <c r="A184" s="385"/>
      <c r="B184" s="385" t="s">
        <v>423</v>
      </c>
      <c r="C184" s="230" t="s">
        <v>412</v>
      </c>
      <c r="D184" s="386" t="s">
        <v>15</v>
      </c>
      <c r="E184" s="387" t="s">
        <v>221</v>
      </c>
      <c r="F184" s="388" t="s">
        <v>449</v>
      </c>
      <c r="G184" s="401" t="s">
        <v>423</v>
      </c>
      <c r="H184" s="390" t="s">
        <v>225</v>
      </c>
      <c r="I184" s="391" t="s">
        <v>5</v>
      </c>
      <c r="J184" s="389" t="s">
        <v>440</v>
      </c>
      <c r="K184" s="392">
        <f>91197.65</f>
        <v>91197.65</v>
      </c>
      <c r="L184" s="392">
        <f>91197.65+40402.79</f>
        <v>131600.44</v>
      </c>
      <c r="M184" s="129" t="s">
        <v>553</v>
      </c>
      <c r="O184" s="305">
        <f>168613.79</f>
        <v>168613.79</v>
      </c>
    </row>
    <row r="185" spans="1:19" s="124" customFormat="1" ht="20.399999999999999" x14ac:dyDescent="0.25">
      <c r="A185" s="385"/>
      <c r="B185" s="385" t="s">
        <v>424</v>
      </c>
      <c r="C185" s="230" t="s">
        <v>413</v>
      </c>
      <c r="D185" s="386" t="s">
        <v>15</v>
      </c>
      <c r="E185" s="387" t="s">
        <v>223</v>
      </c>
      <c r="F185" s="388" t="s">
        <v>450</v>
      </c>
      <c r="G185" s="389" t="s">
        <v>424</v>
      </c>
      <c r="H185" s="390" t="s">
        <v>225</v>
      </c>
      <c r="I185" s="391" t="s">
        <v>5</v>
      </c>
      <c r="J185" s="389" t="s">
        <v>441</v>
      </c>
      <c r="K185" s="392">
        <f>2844.72+30504.92+309743.59+28885.02+25648.53+241637.05</f>
        <v>639263.83000000007</v>
      </c>
      <c r="L185" s="392">
        <f>33349.64+184000+187978.25+K185</f>
        <v>1044591.7200000001</v>
      </c>
      <c r="M185" s="124" t="s">
        <v>554</v>
      </c>
      <c r="S185" s="392"/>
    </row>
    <row r="186" spans="1:19" s="129" customFormat="1" ht="18.75" customHeight="1" x14ac:dyDescent="0.25">
      <c r="A186" s="385"/>
      <c r="B186" s="385" t="s">
        <v>425</v>
      </c>
      <c r="C186" s="230" t="s">
        <v>414</v>
      </c>
      <c r="D186" s="386" t="s">
        <v>15</v>
      </c>
      <c r="E186" s="387" t="s">
        <v>221</v>
      </c>
      <c r="F186" s="388" t="s">
        <v>451</v>
      </c>
      <c r="G186" s="389" t="s">
        <v>425</v>
      </c>
      <c r="H186" s="390" t="s">
        <v>225</v>
      </c>
      <c r="I186" s="391" t="s">
        <v>5</v>
      </c>
      <c r="J186" s="389" t="s">
        <v>442</v>
      </c>
      <c r="K186" s="392">
        <f>60000</f>
        <v>60000</v>
      </c>
      <c r="L186" s="392">
        <f>437774.12+K186</f>
        <v>497774.12</v>
      </c>
      <c r="M186" s="129" t="s">
        <v>555</v>
      </c>
      <c r="S186" s="305"/>
    </row>
    <row r="187" spans="1:19" s="129" customFormat="1" ht="18.75" customHeight="1" x14ac:dyDescent="0.25">
      <c r="A187" s="385"/>
      <c r="B187" s="385" t="s">
        <v>427</v>
      </c>
      <c r="C187" s="399" t="s">
        <v>415</v>
      </c>
      <c r="D187" s="386" t="s">
        <v>15</v>
      </c>
      <c r="E187" s="387" t="s">
        <v>221</v>
      </c>
      <c r="F187" s="388" t="s">
        <v>452</v>
      </c>
      <c r="G187" s="389" t="s">
        <v>428</v>
      </c>
      <c r="H187" s="390" t="s">
        <v>225</v>
      </c>
      <c r="I187" s="391" t="s">
        <v>5</v>
      </c>
      <c r="J187" s="389" t="s">
        <v>443</v>
      </c>
      <c r="K187" s="392">
        <f>69383.62+41107.47</f>
        <v>110491.09</v>
      </c>
      <c r="L187" s="392">
        <f t="shared" ref="L187:L192" si="0">K187</f>
        <v>110491.09</v>
      </c>
      <c r="M187" s="129" t="s">
        <v>556</v>
      </c>
    </row>
    <row r="188" spans="1:19" s="129" customFormat="1" ht="19.5" customHeight="1" x14ac:dyDescent="0.25">
      <c r="A188" s="385"/>
      <c r="B188" s="385" t="s">
        <v>428</v>
      </c>
      <c r="C188" s="399" t="s">
        <v>416</v>
      </c>
      <c r="D188" s="386" t="s">
        <v>15</v>
      </c>
      <c r="E188" s="387" t="s">
        <v>221</v>
      </c>
      <c r="F188" s="388" t="s">
        <v>453</v>
      </c>
      <c r="G188" s="389" t="s">
        <v>429</v>
      </c>
      <c r="H188" s="390" t="s">
        <v>225</v>
      </c>
      <c r="I188" s="391" t="s">
        <v>5</v>
      </c>
      <c r="J188" s="389" t="s">
        <v>444</v>
      </c>
      <c r="K188" s="392">
        <f>80106.2+42460.07+27421.4</f>
        <v>149987.66999999998</v>
      </c>
      <c r="L188" s="392">
        <f t="shared" si="0"/>
        <v>149987.66999999998</v>
      </c>
      <c r="M188" s="129" t="s">
        <v>550</v>
      </c>
    </row>
    <row r="189" spans="1:19" s="129" customFormat="1" ht="18" customHeight="1" x14ac:dyDescent="0.25">
      <c r="A189" s="385"/>
      <c r="B189" s="385" t="s">
        <v>429</v>
      </c>
      <c r="C189" s="399" t="s">
        <v>417</v>
      </c>
      <c r="D189" s="386" t="s">
        <v>15</v>
      </c>
      <c r="E189" s="387" t="s">
        <v>221</v>
      </c>
      <c r="F189" s="395" t="s">
        <v>454</v>
      </c>
      <c r="G189" s="389" t="s">
        <v>426</v>
      </c>
      <c r="H189" s="390" t="s">
        <v>225</v>
      </c>
      <c r="I189" s="391" t="s">
        <v>5</v>
      </c>
      <c r="J189" s="389" t="s">
        <v>445</v>
      </c>
      <c r="K189" s="392">
        <f>4185.5</f>
        <v>4185.5</v>
      </c>
      <c r="L189" s="392">
        <f t="shared" si="0"/>
        <v>4185.5</v>
      </c>
      <c r="M189" s="129" t="s">
        <v>557</v>
      </c>
    </row>
    <row r="190" spans="1:19" s="129" customFormat="1" ht="18" customHeight="1" x14ac:dyDescent="0.25">
      <c r="A190" s="385"/>
      <c r="B190" s="385" t="s">
        <v>430</v>
      </c>
      <c r="C190" s="399" t="s">
        <v>418</v>
      </c>
      <c r="D190" s="386" t="s">
        <v>15</v>
      </c>
      <c r="E190" s="387" t="s">
        <v>221</v>
      </c>
      <c r="F190" s="395" t="s">
        <v>455</v>
      </c>
      <c r="G190" s="389" t="s">
        <v>427</v>
      </c>
      <c r="H190" s="390" t="s">
        <v>225</v>
      </c>
      <c r="I190" s="391" t="s">
        <v>5</v>
      </c>
      <c r="J190" s="389" t="s">
        <v>446</v>
      </c>
      <c r="K190" s="392">
        <f>12250</f>
        <v>12250</v>
      </c>
      <c r="L190" s="392">
        <f t="shared" si="0"/>
        <v>12250</v>
      </c>
      <c r="M190" s="129" t="s">
        <v>549</v>
      </c>
    </row>
    <row r="191" spans="1:19" s="129" customFormat="1" ht="19.5" customHeight="1" x14ac:dyDescent="0.25">
      <c r="A191" s="385"/>
      <c r="B191" s="385" t="s">
        <v>431</v>
      </c>
      <c r="C191" s="399" t="s">
        <v>419</v>
      </c>
      <c r="D191" s="386" t="s">
        <v>15</v>
      </c>
      <c r="E191" s="387" t="s">
        <v>221</v>
      </c>
      <c r="F191" s="395" t="s">
        <v>456</v>
      </c>
      <c r="G191" s="389" t="s">
        <v>433</v>
      </c>
      <c r="H191" s="418" t="s">
        <v>225</v>
      </c>
      <c r="I191" s="419" t="s">
        <v>5</v>
      </c>
      <c r="J191" s="389" t="s">
        <v>447</v>
      </c>
      <c r="K191" s="420">
        <f>5000+5000</f>
        <v>10000</v>
      </c>
      <c r="L191" s="420">
        <f>117832+K191</f>
        <v>127832</v>
      </c>
      <c r="M191" s="129" t="s">
        <v>558</v>
      </c>
    </row>
    <row r="192" spans="1:19" s="129" customFormat="1" ht="18.75" customHeight="1" x14ac:dyDescent="0.25">
      <c r="A192" s="385"/>
      <c r="B192" s="385" t="s">
        <v>432</v>
      </c>
      <c r="C192" s="400" t="s">
        <v>577</v>
      </c>
      <c r="D192" s="386" t="s">
        <v>15</v>
      </c>
      <c r="E192" s="387" t="s">
        <v>221</v>
      </c>
      <c r="F192" s="403" t="s">
        <v>457</v>
      </c>
      <c r="G192" s="403" t="s">
        <v>437</v>
      </c>
      <c r="H192" s="390" t="s">
        <v>225</v>
      </c>
      <c r="I192" s="391" t="s">
        <v>5</v>
      </c>
      <c r="J192" s="403" t="s">
        <v>578</v>
      </c>
      <c r="K192" s="392">
        <f>3200</f>
        <v>3200</v>
      </c>
      <c r="L192" s="392">
        <f t="shared" si="0"/>
        <v>3200</v>
      </c>
      <c r="M192" s="129" t="s">
        <v>560</v>
      </c>
    </row>
    <row r="193" spans="1:17" s="129" customFormat="1" ht="24" customHeight="1" x14ac:dyDescent="0.25">
      <c r="A193" s="385"/>
      <c r="B193" s="385" t="s">
        <v>434</v>
      </c>
      <c r="C193" s="421" t="s">
        <v>420</v>
      </c>
      <c r="D193" s="386" t="s">
        <v>15</v>
      </c>
      <c r="E193" s="387"/>
      <c r="F193" s="422" t="s">
        <v>458</v>
      </c>
      <c r="G193" s="402" t="s">
        <v>424</v>
      </c>
      <c r="H193" s="423" t="s">
        <v>225</v>
      </c>
      <c r="I193" s="424" t="s">
        <v>5</v>
      </c>
      <c r="J193" s="403" t="s">
        <v>579</v>
      </c>
      <c r="K193" s="425">
        <f>58518.64+85004.89+94740.55+53606.41+65900.89+51654.08+50933.37+23567.33+19630.03+64731.82+68293.43</f>
        <v>636581.43999999994</v>
      </c>
      <c r="L193" s="425">
        <f>K193</f>
        <v>636581.43999999994</v>
      </c>
      <c r="M193" s="129" t="s">
        <v>561</v>
      </c>
    </row>
    <row r="194" spans="1:17" s="129" customFormat="1" ht="24" customHeight="1" x14ac:dyDescent="0.25">
      <c r="A194" s="385"/>
      <c r="B194" s="385" t="s">
        <v>435</v>
      </c>
      <c r="C194" s="421" t="s">
        <v>421</v>
      </c>
      <c r="D194" s="386" t="s">
        <v>15</v>
      </c>
      <c r="E194" s="387" t="s">
        <v>221</v>
      </c>
      <c r="F194" s="401" t="s">
        <v>459</v>
      </c>
      <c r="G194" s="389" t="s">
        <v>468</v>
      </c>
      <c r="H194" s="390" t="s">
        <v>318</v>
      </c>
      <c r="I194" s="391" t="s">
        <v>5</v>
      </c>
      <c r="J194" s="402">
        <v>485032.22</v>
      </c>
      <c r="K194" s="392">
        <f>10000+10000</f>
        <v>20000</v>
      </c>
      <c r="L194" s="392">
        <f>K194</f>
        <v>20000</v>
      </c>
      <c r="M194" s="129" t="s">
        <v>562</v>
      </c>
    </row>
    <row r="195" spans="1:17" s="129" customFormat="1" ht="12.75" customHeight="1" x14ac:dyDescent="0.25">
      <c r="A195" s="194"/>
      <c r="B195" s="194"/>
      <c r="C195" s="194"/>
      <c r="D195" s="194"/>
      <c r="E195" s="194"/>
      <c r="F195" s="194"/>
      <c r="G195" s="194"/>
      <c r="H195" s="194"/>
      <c r="I195" s="194"/>
      <c r="J195" s="191"/>
      <c r="K195" s="194"/>
      <c r="L195" s="194"/>
    </row>
    <row r="196" spans="1:17" s="129" customFormat="1" ht="12.75" customHeight="1" thickBot="1" x14ac:dyDescent="0.3">
      <c r="A196" s="194"/>
      <c r="B196" s="194"/>
      <c r="C196" s="195"/>
      <c r="D196" s="194"/>
      <c r="E196" s="194"/>
      <c r="F196" s="194"/>
      <c r="G196" s="194"/>
      <c r="H196" s="194"/>
      <c r="I196" s="194"/>
      <c r="J196" s="194"/>
      <c r="K196" s="194"/>
      <c r="L196" s="194"/>
    </row>
    <row r="197" spans="1:17" s="342" customFormat="1" ht="29.25" customHeight="1" x14ac:dyDescent="0.25">
      <c r="A197" s="908" t="s">
        <v>806</v>
      </c>
      <c r="B197" s="909"/>
      <c r="C197" s="909"/>
      <c r="D197" s="909"/>
      <c r="E197" s="909"/>
      <c r="F197" s="909"/>
      <c r="G197" s="909"/>
      <c r="H197" s="909"/>
      <c r="I197" s="909"/>
      <c r="J197" s="909"/>
      <c r="K197" s="909"/>
      <c r="L197" s="909"/>
      <c r="M197" s="129"/>
      <c r="N197" s="427"/>
      <c r="O197" s="381"/>
      <c r="P197" s="381"/>
      <c r="Q197" s="382"/>
    </row>
    <row r="198" spans="1:17" s="129" customFormat="1" ht="45.75" customHeight="1" x14ac:dyDescent="0.25">
      <c r="A198" s="436"/>
      <c r="B198" s="447" t="s">
        <v>465</v>
      </c>
      <c r="C198" s="443" t="s">
        <v>461</v>
      </c>
      <c r="D198" s="386" t="s">
        <v>15</v>
      </c>
      <c r="E198" s="387" t="s">
        <v>4</v>
      </c>
      <c r="F198" s="393" t="s">
        <v>522</v>
      </c>
      <c r="G198" s="426" t="s">
        <v>435</v>
      </c>
      <c r="H198" s="390" t="s">
        <v>225</v>
      </c>
      <c r="I198" s="391" t="s">
        <v>5</v>
      </c>
      <c r="J198" s="405">
        <v>77556.649999999994</v>
      </c>
      <c r="K198" s="392">
        <f>3131.9</f>
        <v>3131.9</v>
      </c>
      <c r="L198" s="392">
        <f>11738.35+7600+2912.04+34194.23+K198</f>
        <v>59576.520000000004</v>
      </c>
      <c r="M198" s="129" t="s">
        <v>563</v>
      </c>
    </row>
    <row r="199" spans="1:17" s="129" customFormat="1" ht="24.75" customHeight="1" x14ac:dyDescent="0.25">
      <c r="A199" s="436"/>
      <c r="B199" s="448" t="s">
        <v>460</v>
      </c>
      <c r="C199" s="443" t="s">
        <v>462</v>
      </c>
      <c r="D199" s="386" t="s">
        <v>15</v>
      </c>
      <c r="E199" s="387" t="s">
        <v>221</v>
      </c>
      <c r="F199" s="393" t="s">
        <v>523</v>
      </c>
      <c r="G199" s="426" t="s">
        <v>497</v>
      </c>
      <c r="H199" s="390" t="s">
        <v>225</v>
      </c>
      <c r="I199" s="391" t="s">
        <v>5</v>
      </c>
      <c r="J199" s="405">
        <v>246704.3</v>
      </c>
      <c r="K199" s="392">
        <f>27876.79</f>
        <v>27876.79</v>
      </c>
      <c r="L199" s="392">
        <f>K199+42889.38+88825.97+83976.65+29991.71</f>
        <v>273560.5</v>
      </c>
      <c r="M199" s="129" t="s">
        <v>564</v>
      </c>
    </row>
    <row r="200" spans="1:17" s="129" customFormat="1" ht="29.25" customHeight="1" x14ac:dyDescent="0.25">
      <c r="A200" s="436"/>
      <c r="B200" s="448" t="s">
        <v>468</v>
      </c>
      <c r="C200" s="444" t="s">
        <v>463</v>
      </c>
      <c r="D200" s="386" t="s">
        <v>15</v>
      </c>
      <c r="E200" s="387" t="s">
        <v>221</v>
      </c>
      <c r="F200" s="393" t="s">
        <v>524</v>
      </c>
      <c r="G200" s="403" t="s">
        <v>464</v>
      </c>
      <c r="H200" s="390" t="s">
        <v>225</v>
      </c>
      <c r="I200" s="391" t="s">
        <v>5</v>
      </c>
      <c r="J200" s="405">
        <v>265500</v>
      </c>
      <c r="K200" s="392">
        <f>130000+50000+20284.44</f>
        <v>200284.44</v>
      </c>
      <c r="L200" s="392">
        <f>K200+6825.57</f>
        <v>207110.01</v>
      </c>
      <c r="M200" s="129" t="s">
        <v>549</v>
      </c>
    </row>
    <row r="201" spans="1:17" s="129" customFormat="1" ht="28.5" customHeight="1" x14ac:dyDescent="0.25">
      <c r="A201" s="436"/>
      <c r="B201" s="448" t="s">
        <v>490</v>
      </c>
      <c r="C201" s="443" t="s">
        <v>469</v>
      </c>
      <c r="D201" s="386" t="s">
        <v>15</v>
      </c>
      <c r="E201" s="387" t="s">
        <v>221</v>
      </c>
      <c r="F201" s="393" t="s">
        <v>525</v>
      </c>
      <c r="G201" s="404" t="s">
        <v>493</v>
      </c>
      <c r="H201" s="390" t="s">
        <v>225</v>
      </c>
      <c r="I201" s="391" t="s">
        <v>5</v>
      </c>
      <c r="J201" s="405">
        <v>1054296.01</v>
      </c>
      <c r="K201" s="392">
        <f>70311.8+246548.98+270663.31+194217.64+443113.98</f>
        <v>1224855.71</v>
      </c>
      <c r="L201" s="392">
        <f>K201</f>
        <v>1224855.71</v>
      </c>
      <c r="M201" s="129" t="s">
        <v>566</v>
      </c>
    </row>
    <row r="202" spans="1:17" s="129" customFormat="1" ht="26.25" customHeight="1" x14ac:dyDescent="0.25">
      <c r="A202" s="436"/>
      <c r="B202" s="393" t="s">
        <v>491</v>
      </c>
      <c r="C202" s="443" t="s">
        <v>470</v>
      </c>
      <c r="D202" s="386" t="s">
        <v>15</v>
      </c>
      <c r="E202" s="387" t="s">
        <v>221</v>
      </c>
      <c r="F202" s="393" t="s">
        <v>526</v>
      </c>
      <c r="G202" s="404" t="s">
        <v>465</v>
      </c>
      <c r="H202" s="390" t="s">
        <v>225</v>
      </c>
      <c r="I202" s="391" t="s">
        <v>5</v>
      </c>
      <c r="J202" s="405">
        <v>20064</v>
      </c>
      <c r="K202" s="392">
        <f>10032+10032</f>
        <v>20064</v>
      </c>
      <c r="L202" s="392">
        <f>K202</f>
        <v>20064</v>
      </c>
      <c r="M202" s="129" t="s">
        <v>567</v>
      </c>
    </row>
    <row r="203" spans="1:17" s="129" customFormat="1" ht="26.4" x14ac:dyDescent="0.25">
      <c r="A203" s="442"/>
      <c r="B203" s="449" t="s">
        <v>492</v>
      </c>
      <c r="C203" s="443" t="s">
        <v>471</v>
      </c>
      <c r="D203" s="386" t="s">
        <v>15</v>
      </c>
      <c r="E203" s="407" t="s">
        <v>221</v>
      </c>
      <c r="F203" s="393" t="s">
        <v>527</v>
      </c>
      <c r="G203" s="408" t="s">
        <v>466</v>
      </c>
      <c r="H203" s="390" t="s">
        <v>225</v>
      </c>
      <c r="I203" s="391" t="s">
        <v>5</v>
      </c>
      <c r="J203" s="405">
        <v>120282.25</v>
      </c>
      <c r="K203" s="392">
        <f>47696.61+40000+20095.54</f>
        <v>107792.15</v>
      </c>
      <c r="L203" s="392">
        <f>K203</f>
        <v>107792.15</v>
      </c>
      <c r="M203" s="129" t="s">
        <v>565</v>
      </c>
    </row>
    <row r="204" spans="1:17" s="129" customFormat="1" ht="26.4" x14ac:dyDescent="0.25">
      <c r="A204" s="442"/>
      <c r="B204" s="449" t="s">
        <v>494</v>
      </c>
      <c r="C204" s="443" t="s">
        <v>472</v>
      </c>
      <c r="D204" s="386" t="s">
        <v>15</v>
      </c>
      <c r="E204" s="407" t="s">
        <v>221</v>
      </c>
      <c r="F204" s="393" t="s">
        <v>528</v>
      </c>
      <c r="G204" s="408" t="s">
        <v>460</v>
      </c>
      <c r="H204" s="390" t="s">
        <v>225</v>
      </c>
      <c r="I204" s="391" t="s">
        <v>5</v>
      </c>
      <c r="J204" s="405">
        <v>78041.919999999998</v>
      </c>
      <c r="K204" s="392">
        <f>51264+21687.24+15123.77+5090.68</f>
        <v>93165.69</v>
      </c>
      <c r="L204" s="392">
        <f>5090+K204</f>
        <v>98255.69</v>
      </c>
      <c r="M204" s="129" t="s">
        <v>565</v>
      </c>
    </row>
    <row r="205" spans="1:17" s="129" customFormat="1" ht="26.4" x14ac:dyDescent="0.25">
      <c r="A205" s="442"/>
      <c r="B205" s="449" t="s">
        <v>495</v>
      </c>
      <c r="C205" s="443" t="s">
        <v>473</v>
      </c>
      <c r="D205" s="386" t="s">
        <v>15</v>
      </c>
      <c r="E205" s="407" t="s">
        <v>4</v>
      </c>
      <c r="F205" s="393" t="s">
        <v>529</v>
      </c>
      <c r="G205" s="408" t="s">
        <v>504</v>
      </c>
      <c r="H205" s="390" t="s">
        <v>225</v>
      </c>
      <c r="I205" s="391" t="s">
        <v>5</v>
      </c>
      <c r="J205" s="405">
        <v>950000</v>
      </c>
      <c r="K205" s="392">
        <f>L205</f>
        <v>125436.65</v>
      </c>
      <c r="L205" s="392">
        <f>31598.21+37812.74+56025.7</f>
        <v>125436.65</v>
      </c>
      <c r="M205" s="129" t="s">
        <v>562</v>
      </c>
    </row>
    <row r="206" spans="1:17" s="129" customFormat="1" ht="26.4" x14ac:dyDescent="0.25">
      <c r="A206" s="442"/>
      <c r="B206" s="449" t="s">
        <v>496</v>
      </c>
      <c r="C206" s="445" t="s">
        <v>474</v>
      </c>
      <c r="D206" s="386" t="s">
        <v>15</v>
      </c>
      <c r="E206" s="407" t="s">
        <v>221</v>
      </c>
      <c r="F206" s="393" t="s">
        <v>530</v>
      </c>
      <c r="G206" s="408" t="s">
        <v>467</v>
      </c>
      <c r="H206" s="390" t="s">
        <v>225</v>
      </c>
      <c r="I206" s="391" t="s">
        <v>5</v>
      </c>
      <c r="J206" s="405">
        <v>11999.18</v>
      </c>
      <c r="K206" s="392">
        <f>11108.22+2919.62</f>
        <v>14027.84</v>
      </c>
      <c r="L206" s="392">
        <f>K206</f>
        <v>14027.84</v>
      </c>
      <c r="M206" s="129" t="s">
        <v>568</v>
      </c>
    </row>
    <row r="207" spans="1:17" s="129" customFormat="1" ht="26.4" x14ac:dyDescent="0.25">
      <c r="A207" s="442"/>
      <c r="B207" s="410" t="s">
        <v>497</v>
      </c>
      <c r="C207" s="446" t="s">
        <v>475</v>
      </c>
      <c r="D207" s="386" t="s">
        <v>15</v>
      </c>
      <c r="E207" s="407" t="s">
        <v>221</v>
      </c>
      <c r="F207" s="393" t="s">
        <v>531</v>
      </c>
      <c r="G207" s="408" t="s">
        <v>505</v>
      </c>
      <c r="H207" s="390" t="s">
        <v>225</v>
      </c>
      <c r="I207" s="391" t="s">
        <v>5</v>
      </c>
      <c r="J207" s="405">
        <v>1291865.8799999999</v>
      </c>
      <c r="K207" s="392">
        <f>65000+62432.81+51557.31+9371.4+14245.55+15700+24380.6</f>
        <v>242687.66999999998</v>
      </c>
      <c r="L207" s="392">
        <f>90000+162279.5+139729.8+94329.79+166977.64+169628.44+132033.8+110604.74+111780.5+K207</f>
        <v>1420051.88</v>
      </c>
      <c r="M207" s="129" t="s">
        <v>564</v>
      </c>
    </row>
    <row r="208" spans="1:17" s="129" customFormat="1" ht="34.5" customHeight="1" x14ac:dyDescent="0.25">
      <c r="A208" s="409"/>
      <c r="B208" s="410" t="s">
        <v>499</v>
      </c>
      <c r="C208" s="428" t="s">
        <v>581</v>
      </c>
      <c r="D208" s="386" t="s">
        <v>15</v>
      </c>
      <c r="E208" s="387" t="s">
        <v>221</v>
      </c>
      <c r="F208" s="393" t="s">
        <v>532</v>
      </c>
      <c r="G208" s="404" t="s">
        <v>490</v>
      </c>
      <c r="H208" s="390" t="s">
        <v>225</v>
      </c>
      <c r="I208" s="411" t="s">
        <v>5</v>
      </c>
      <c r="J208" s="405">
        <v>24549.5</v>
      </c>
      <c r="K208" s="392">
        <v>0</v>
      </c>
      <c r="L208" s="392">
        <v>0</v>
      </c>
      <c r="M208" s="129" t="s">
        <v>559</v>
      </c>
    </row>
    <row r="209" spans="1:13" s="129" customFormat="1" ht="56.25" customHeight="1" x14ac:dyDescent="0.25">
      <c r="A209" s="409"/>
      <c r="B209" s="410" t="s">
        <v>500</v>
      </c>
      <c r="C209" s="406" t="s">
        <v>476</v>
      </c>
      <c r="D209" s="386" t="s">
        <v>15</v>
      </c>
      <c r="E209" s="387" t="s">
        <v>221</v>
      </c>
      <c r="F209" s="393" t="s">
        <v>533</v>
      </c>
      <c r="G209" s="404" t="s">
        <v>494</v>
      </c>
      <c r="H209" s="390" t="s">
        <v>225</v>
      </c>
      <c r="I209" s="411" t="s">
        <v>5</v>
      </c>
      <c r="J209" s="405">
        <v>110437.88</v>
      </c>
      <c r="K209" s="392">
        <v>0</v>
      </c>
      <c r="L209" s="392">
        <f>40959.7</f>
        <v>40959.699999999997</v>
      </c>
      <c r="M209" s="343" t="s">
        <v>569</v>
      </c>
    </row>
    <row r="210" spans="1:13" s="129" customFormat="1" ht="30" customHeight="1" thickBot="1" x14ac:dyDescent="0.3">
      <c r="A210" s="409"/>
      <c r="B210" s="410" t="s">
        <v>501</v>
      </c>
      <c r="C210" s="406" t="s">
        <v>477</v>
      </c>
      <c r="D210" s="386" t="s">
        <v>15</v>
      </c>
      <c r="E210" s="387" t="s">
        <v>221</v>
      </c>
      <c r="F210" s="393" t="s">
        <v>534</v>
      </c>
      <c r="G210" s="404" t="s">
        <v>496</v>
      </c>
      <c r="H210" s="390" t="s">
        <v>225</v>
      </c>
      <c r="I210" s="411" t="s">
        <v>5</v>
      </c>
      <c r="J210" s="405">
        <v>26960.95</v>
      </c>
      <c r="K210" s="392">
        <v>0</v>
      </c>
      <c r="L210" s="392">
        <f>16060.07</f>
        <v>16060.07</v>
      </c>
      <c r="M210" s="343" t="s">
        <v>557</v>
      </c>
    </row>
    <row r="211" spans="1:13" s="342" customFormat="1" ht="30" customHeight="1" x14ac:dyDescent="0.25">
      <c r="A211" s="908" t="s">
        <v>809</v>
      </c>
      <c r="B211" s="909"/>
      <c r="C211" s="909"/>
      <c r="D211" s="909"/>
      <c r="E211" s="909"/>
      <c r="F211" s="909"/>
      <c r="G211" s="909"/>
      <c r="H211" s="909"/>
      <c r="I211" s="909"/>
      <c r="J211" s="909"/>
      <c r="K211" s="909"/>
      <c r="L211" s="909"/>
    </row>
    <row r="212" spans="1:13" s="129" customFormat="1" ht="54.75" customHeight="1" x14ac:dyDescent="0.25">
      <c r="A212" s="409"/>
      <c r="B212" s="410" t="s">
        <v>502</v>
      </c>
      <c r="C212" s="406" t="s">
        <v>478</v>
      </c>
      <c r="D212" s="386" t="s">
        <v>15</v>
      </c>
      <c r="E212" s="387" t="s">
        <v>4</v>
      </c>
      <c r="F212" s="393" t="s">
        <v>535</v>
      </c>
      <c r="G212" s="404" t="s">
        <v>498</v>
      </c>
      <c r="H212" s="390" t="s">
        <v>225</v>
      </c>
      <c r="I212" s="411" t="s">
        <v>5</v>
      </c>
      <c r="J212" s="405">
        <v>140988.01999999999</v>
      </c>
      <c r="K212" s="392">
        <f>2972.84</f>
        <v>2972.84</v>
      </c>
      <c r="L212" s="392">
        <f>K212</f>
        <v>2972.84</v>
      </c>
      <c r="M212" s="185" t="s">
        <v>343</v>
      </c>
    </row>
    <row r="213" spans="1:13" s="129" customFormat="1" ht="39" customHeight="1" x14ac:dyDescent="0.25">
      <c r="A213" s="409"/>
      <c r="B213" s="410" t="s">
        <v>503</v>
      </c>
      <c r="C213" s="406" t="s">
        <v>479</v>
      </c>
      <c r="D213" s="386" t="s">
        <v>15</v>
      </c>
      <c r="E213" s="387" t="s">
        <v>4</v>
      </c>
      <c r="F213" s="393" t="s">
        <v>536</v>
      </c>
      <c r="G213" s="404" t="s">
        <v>499</v>
      </c>
      <c r="H213" s="390" t="s">
        <v>225</v>
      </c>
      <c r="I213" s="411" t="s">
        <v>5</v>
      </c>
      <c r="J213" s="405">
        <v>129117.38</v>
      </c>
      <c r="K213" s="405">
        <f>30300+7215.1+37515.1</f>
        <v>75030.2</v>
      </c>
      <c r="L213" s="405">
        <f>K213</f>
        <v>75030.2</v>
      </c>
      <c r="M213" s="129" t="s">
        <v>570</v>
      </c>
    </row>
    <row r="214" spans="1:13" s="129" customFormat="1" ht="57" customHeight="1" x14ac:dyDescent="0.25">
      <c r="A214" s="409"/>
      <c r="B214" s="410" t="s">
        <v>508</v>
      </c>
      <c r="C214" s="406" t="s">
        <v>480</v>
      </c>
      <c r="D214" s="386" t="s">
        <v>15</v>
      </c>
      <c r="E214" s="387" t="s">
        <v>221</v>
      </c>
      <c r="F214" s="393" t="s">
        <v>537</v>
      </c>
      <c r="G214" s="404" t="s">
        <v>501</v>
      </c>
      <c r="H214" s="390" t="s">
        <v>225</v>
      </c>
      <c r="I214" s="411" t="s">
        <v>5</v>
      </c>
      <c r="J214" s="405">
        <v>135335.89000000001</v>
      </c>
      <c r="K214" s="392">
        <f>8592.48+38284.62</f>
        <v>46877.100000000006</v>
      </c>
      <c r="L214" s="392">
        <f>13765.81+27960.22+K214</f>
        <v>88603.13</v>
      </c>
      <c r="M214" s="129" t="s">
        <v>557</v>
      </c>
    </row>
    <row r="215" spans="1:13" s="129" customFormat="1" ht="33" customHeight="1" x14ac:dyDescent="0.25">
      <c r="A215" s="409"/>
      <c r="B215" s="410" t="s">
        <v>512</v>
      </c>
      <c r="C215" s="406" t="s">
        <v>481</v>
      </c>
      <c r="D215" s="386" t="s">
        <v>15</v>
      </c>
      <c r="E215" s="387" t="s">
        <v>4</v>
      </c>
      <c r="F215" s="393" t="s">
        <v>538</v>
      </c>
      <c r="G215" s="404" t="s">
        <v>645</v>
      </c>
      <c r="H215" s="390" t="s">
        <v>225</v>
      </c>
      <c r="I215" s="411" t="s">
        <v>5</v>
      </c>
      <c r="J215" s="405">
        <v>3316951.94</v>
      </c>
      <c r="K215" s="405">
        <f>87000+77714.47</f>
        <v>164714.47</v>
      </c>
      <c r="L215" s="405">
        <f>K215</f>
        <v>164714.47</v>
      </c>
      <c r="M215" s="185" t="s">
        <v>803</v>
      </c>
    </row>
    <row r="216" spans="1:13" s="129" customFormat="1" ht="26.4" x14ac:dyDescent="0.25">
      <c r="A216" s="409"/>
      <c r="B216" s="410" t="s">
        <v>513</v>
      </c>
      <c r="C216" s="406" t="s">
        <v>482</v>
      </c>
      <c r="D216" s="386" t="s">
        <v>15</v>
      </c>
      <c r="E216" s="387" t="s">
        <v>4</v>
      </c>
      <c r="F216" s="393" t="s">
        <v>539</v>
      </c>
      <c r="G216" s="404"/>
      <c r="H216" s="390" t="s">
        <v>225</v>
      </c>
      <c r="I216" s="411" t="s">
        <v>5</v>
      </c>
      <c r="J216" s="405">
        <v>3329568.49</v>
      </c>
      <c r="K216" s="392">
        <f>6791.9</f>
        <v>6791.9</v>
      </c>
      <c r="L216" s="405">
        <f>55563.01+K216</f>
        <v>62354.91</v>
      </c>
      <c r="M216" s="185" t="s">
        <v>338</v>
      </c>
    </row>
    <row r="217" spans="1:13" s="129" customFormat="1" ht="26.4" x14ac:dyDescent="0.25">
      <c r="A217" s="409"/>
      <c r="B217" s="410" t="s">
        <v>514</v>
      </c>
      <c r="C217" s="406" t="s">
        <v>483</v>
      </c>
      <c r="D217" s="386" t="s">
        <v>15</v>
      </c>
      <c r="E217" s="387" t="s">
        <v>221</v>
      </c>
      <c r="F217" s="393" t="s">
        <v>540</v>
      </c>
      <c r="G217" s="416" t="s">
        <v>506</v>
      </c>
      <c r="H217" s="390" t="s">
        <v>225</v>
      </c>
      <c r="I217" s="411" t="s">
        <v>5</v>
      </c>
      <c r="J217" s="405">
        <v>9624.48</v>
      </c>
      <c r="K217" s="386">
        <f>4160.3</f>
        <v>4160.3</v>
      </c>
      <c r="L217" s="405">
        <f>5307.02+K217</f>
        <v>9467.32</v>
      </c>
      <c r="M217" s="185" t="s">
        <v>559</v>
      </c>
    </row>
    <row r="218" spans="1:13" s="129" customFormat="1" ht="38.25" customHeight="1" x14ac:dyDescent="0.25">
      <c r="A218" s="409"/>
      <c r="B218" s="410" t="s">
        <v>515</v>
      </c>
      <c r="C218" s="406" t="s">
        <v>484</v>
      </c>
      <c r="D218" s="386" t="s">
        <v>15</v>
      </c>
      <c r="E218" s="387" t="s">
        <v>221</v>
      </c>
      <c r="F218" s="393" t="s">
        <v>541</v>
      </c>
      <c r="G218" s="416" t="s">
        <v>507</v>
      </c>
      <c r="H218" s="390" t="s">
        <v>225</v>
      </c>
      <c r="I218" s="411" t="s">
        <v>5</v>
      </c>
      <c r="J218" s="405">
        <v>9852.77</v>
      </c>
      <c r="K218" s="392">
        <v>0</v>
      </c>
      <c r="L218" s="405">
        <v>0</v>
      </c>
      <c r="M218" s="129" t="s">
        <v>438</v>
      </c>
    </row>
    <row r="219" spans="1:13" s="129" customFormat="1" ht="30" customHeight="1" x14ac:dyDescent="0.25">
      <c r="A219" s="409"/>
      <c r="B219" s="410" t="s">
        <v>516</v>
      </c>
      <c r="C219" s="406" t="s">
        <v>485</v>
      </c>
      <c r="D219" s="386" t="s">
        <v>15</v>
      </c>
      <c r="E219" s="387" t="s">
        <v>221</v>
      </c>
      <c r="F219" s="393" t="s">
        <v>542</v>
      </c>
      <c r="G219" s="413" t="s">
        <v>513</v>
      </c>
      <c r="H219" s="390" t="s">
        <v>225</v>
      </c>
      <c r="I219" s="411" t="s">
        <v>5</v>
      </c>
      <c r="J219" s="405">
        <v>395308.55</v>
      </c>
      <c r="K219" s="392">
        <v>0</v>
      </c>
      <c r="L219" s="405">
        <f>87225.38+50665.95</f>
        <v>137891.33000000002</v>
      </c>
      <c r="M219" s="185" t="s">
        <v>335</v>
      </c>
    </row>
    <row r="220" spans="1:13" s="129" customFormat="1" ht="28.5" customHeight="1" x14ac:dyDescent="0.25">
      <c r="A220" s="409"/>
      <c r="B220" s="410" t="s">
        <v>517</v>
      </c>
      <c r="C220" s="406" t="s">
        <v>486</v>
      </c>
      <c r="D220" s="386" t="s">
        <v>15</v>
      </c>
      <c r="E220" s="387" t="s">
        <v>221</v>
      </c>
      <c r="F220" s="393" t="s">
        <v>543</v>
      </c>
      <c r="G220" s="413" t="s">
        <v>512</v>
      </c>
      <c r="H220" s="390" t="s">
        <v>225</v>
      </c>
      <c r="I220" s="411" t="s">
        <v>5</v>
      </c>
      <c r="J220" s="405">
        <v>172800</v>
      </c>
      <c r="K220" s="392">
        <f>34100+17600+12400+14950+14950</f>
        <v>94000</v>
      </c>
      <c r="L220" s="405">
        <f>17280+17280+17280+17280+17280+17280+17280+K220</f>
        <v>214960</v>
      </c>
      <c r="M220" s="346" t="s">
        <v>582</v>
      </c>
    </row>
    <row r="221" spans="1:13" s="129" customFormat="1" ht="34.5" customHeight="1" x14ac:dyDescent="0.25">
      <c r="A221" s="409"/>
      <c r="B221" s="410" t="s">
        <v>518</v>
      </c>
      <c r="C221" s="406" t="s">
        <v>487</v>
      </c>
      <c r="D221" s="386" t="s">
        <v>15</v>
      </c>
      <c r="E221" s="387" t="s">
        <v>221</v>
      </c>
      <c r="F221" s="393" t="s">
        <v>544</v>
      </c>
      <c r="G221" s="413" t="s">
        <v>586</v>
      </c>
      <c r="H221" s="390" t="s">
        <v>225</v>
      </c>
      <c r="I221" s="411" t="s">
        <v>5</v>
      </c>
      <c r="J221" s="405">
        <v>53068701.600000001</v>
      </c>
      <c r="K221" s="392">
        <f>319743.43+319743.44+636364.95+641603.55</f>
        <v>1917455.3699999999</v>
      </c>
      <c r="L221" s="405">
        <f>529831.96+624243.28+618889.32+620920.66+617328.97+627757.72+K221</f>
        <v>5556427.2800000003</v>
      </c>
      <c r="M221" s="185" t="s">
        <v>810</v>
      </c>
    </row>
    <row r="222" spans="1:13" s="129" customFormat="1" ht="39.6" x14ac:dyDescent="0.25">
      <c r="A222" s="409"/>
      <c r="B222" s="410" t="s">
        <v>519</v>
      </c>
      <c r="C222" s="412" t="s">
        <v>488</v>
      </c>
      <c r="D222" s="386" t="s">
        <v>15</v>
      </c>
      <c r="E222" s="387" t="s">
        <v>221</v>
      </c>
      <c r="F222" s="393" t="s">
        <v>545</v>
      </c>
      <c r="G222" s="413" t="s">
        <v>509</v>
      </c>
      <c r="H222" s="390" t="s">
        <v>225</v>
      </c>
      <c r="I222" s="411" t="s">
        <v>5</v>
      </c>
      <c r="J222" s="386">
        <v>101877.81</v>
      </c>
      <c r="K222" s="386">
        <f>50814.36</f>
        <v>50814.36</v>
      </c>
      <c r="L222" s="405">
        <f>K222+25531.73+25531.72</f>
        <v>101877.81</v>
      </c>
      <c r="M222" s="185" t="s">
        <v>343</v>
      </c>
    </row>
    <row r="223" spans="1:13" s="129" customFormat="1" ht="26.4" x14ac:dyDescent="0.25">
      <c r="A223" s="409"/>
      <c r="B223" s="410" t="s">
        <v>520</v>
      </c>
      <c r="C223" s="430" t="s">
        <v>489</v>
      </c>
      <c r="D223" s="386" t="s">
        <v>15</v>
      </c>
      <c r="E223" s="387" t="s">
        <v>221</v>
      </c>
      <c r="F223" s="393" t="s">
        <v>546</v>
      </c>
      <c r="G223" s="413" t="s">
        <v>510</v>
      </c>
      <c r="H223" s="390" t="s">
        <v>225</v>
      </c>
      <c r="I223" s="411" t="s">
        <v>5</v>
      </c>
      <c r="J223" s="417">
        <v>99751.56</v>
      </c>
      <c r="K223" s="392">
        <f>50000+4467.33+24294.61+45284.23</f>
        <v>124046.17000000001</v>
      </c>
      <c r="L223" s="405">
        <f>50000+4467.33+24294.61+45284.23</f>
        <v>124046.17000000001</v>
      </c>
      <c r="M223" s="429" t="s">
        <v>773</v>
      </c>
    </row>
    <row r="224" spans="1:13" s="129" customFormat="1" ht="26.4" x14ac:dyDescent="0.25">
      <c r="A224" s="409"/>
      <c r="B224" s="410" t="s">
        <v>521</v>
      </c>
      <c r="C224" s="412" t="s">
        <v>583</v>
      </c>
      <c r="D224" s="386" t="s">
        <v>15</v>
      </c>
      <c r="E224" s="387" t="s">
        <v>221</v>
      </c>
      <c r="F224" s="393" t="s">
        <v>547</v>
      </c>
      <c r="G224" s="416" t="s">
        <v>511</v>
      </c>
      <c r="H224" s="390" t="s">
        <v>225</v>
      </c>
      <c r="I224" s="411" t="s">
        <v>398</v>
      </c>
      <c r="J224" s="417">
        <v>12762.75</v>
      </c>
      <c r="K224" s="392">
        <v>12756.51</v>
      </c>
      <c r="L224" s="405">
        <v>12756.51</v>
      </c>
      <c r="M224" s="429" t="s">
        <v>773</v>
      </c>
    </row>
    <row r="225" spans="1:14" s="129" customFormat="1" ht="13.8" thickBot="1" x14ac:dyDescent="0.3">
      <c r="A225" s="122"/>
      <c r="B225" s="450"/>
      <c r="C225" s="122"/>
      <c r="D225" s="122"/>
      <c r="E225" s="122"/>
      <c r="F225" s="414"/>
      <c r="G225" s="414"/>
      <c r="H225" s="414"/>
      <c r="I225" s="414"/>
      <c r="J225" s="415"/>
      <c r="K225" s="579"/>
      <c r="L225" s="579"/>
    </row>
    <row r="226" spans="1:14" s="348" customFormat="1" ht="24.6" x14ac:dyDescent="0.25">
      <c r="A226" s="580"/>
      <c r="B226" s="581"/>
      <c r="C226" s="941" t="s">
        <v>589</v>
      </c>
      <c r="D226" s="941"/>
      <c r="E226" s="941"/>
      <c r="F226" s="941"/>
      <c r="G226" s="941"/>
      <c r="H226" s="941"/>
      <c r="I226" s="941"/>
      <c r="J226" s="941"/>
      <c r="K226" s="941"/>
      <c r="L226" s="942"/>
      <c r="M226" s="384"/>
    </row>
    <row r="227" spans="1:14" s="348" customFormat="1" ht="24.6" x14ac:dyDescent="0.25">
      <c r="A227" s="582"/>
      <c r="B227" s="573"/>
      <c r="C227" s="939" t="s">
        <v>364</v>
      </c>
      <c r="D227" s="939"/>
      <c r="E227" s="939"/>
      <c r="F227" s="939"/>
      <c r="G227" s="939"/>
      <c r="H227" s="939"/>
      <c r="I227" s="939"/>
      <c r="J227" s="939"/>
      <c r="K227" s="939"/>
      <c r="L227" s="940"/>
    </row>
    <row r="228" spans="1:14" s="129" customFormat="1" ht="39.6" x14ac:dyDescent="0.25">
      <c r="A228" s="583"/>
      <c r="B228" s="574" t="s">
        <v>586</v>
      </c>
      <c r="C228" s="491" t="s">
        <v>590</v>
      </c>
      <c r="D228" s="188" t="s">
        <v>15</v>
      </c>
      <c r="E228" s="320" t="s">
        <v>221</v>
      </c>
      <c r="F228" s="189" t="s">
        <v>591</v>
      </c>
      <c r="G228" s="490" t="s">
        <v>592</v>
      </c>
      <c r="H228" s="190" t="s">
        <v>225</v>
      </c>
      <c r="I228" s="308" t="s">
        <v>5</v>
      </c>
      <c r="J228" s="139">
        <v>149835.98000000001</v>
      </c>
      <c r="K228" s="324">
        <f>13043.64</f>
        <v>13043.64</v>
      </c>
      <c r="L228" s="584">
        <f>174088.15+K228</f>
        <v>187131.78999999998</v>
      </c>
      <c r="M228" s="185" t="s">
        <v>339</v>
      </c>
      <c r="N228" s="427">
        <f>L228-J228</f>
        <v>37295.809999999969</v>
      </c>
    </row>
    <row r="229" spans="1:14" s="129" customFormat="1" ht="26.4" x14ac:dyDescent="0.25">
      <c r="A229" s="583"/>
      <c r="B229" s="575" t="s">
        <v>593</v>
      </c>
      <c r="C229" s="307" t="s">
        <v>594</v>
      </c>
      <c r="D229" s="188" t="s">
        <v>15</v>
      </c>
      <c r="E229" s="320" t="s">
        <v>221</v>
      </c>
      <c r="F229" s="189" t="s">
        <v>595</v>
      </c>
      <c r="G229" s="492" t="s">
        <v>596</v>
      </c>
      <c r="H229" s="190" t="s">
        <v>225</v>
      </c>
      <c r="I229" s="308" t="s">
        <v>5</v>
      </c>
      <c r="J229" s="139">
        <v>139158.49</v>
      </c>
      <c r="K229" s="324">
        <f>21342.18+26491.47+14970</f>
        <v>62803.65</v>
      </c>
      <c r="L229" s="584">
        <f>112667.02+K229</f>
        <v>175470.67</v>
      </c>
      <c r="M229" s="129" t="s">
        <v>789</v>
      </c>
      <c r="N229" s="427">
        <f t="shared" ref="N229:N242" si="1">L229-J229</f>
        <v>36312.180000000022</v>
      </c>
    </row>
    <row r="230" spans="1:14" s="129" customFormat="1" ht="39.6" x14ac:dyDescent="0.25">
      <c r="A230" s="583"/>
      <c r="B230" s="575" t="s">
        <v>592</v>
      </c>
      <c r="C230" s="307" t="s">
        <v>597</v>
      </c>
      <c r="D230" s="188" t="s">
        <v>15</v>
      </c>
      <c r="E230" s="320" t="s">
        <v>221</v>
      </c>
      <c r="F230" s="189" t="s">
        <v>599</v>
      </c>
      <c r="G230" s="322" t="s">
        <v>593</v>
      </c>
      <c r="H230" s="190" t="s">
        <v>225</v>
      </c>
      <c r="I230" s="308" t="s">
        <v>5</v>
      </c>
      <c r="J230" s="139">
        <v>102763.86</v>
      </c>
      <c r="K230" s="324">
        <f>61184.68+41579.18+25640.91</f>
        <v>128404.77</v>
      </c>
      <c r="L230" s="584">
        <f>K230</f>
        <v>128404.77</v>
      </c>
      <c r="M230" s="343" t="s">
        <v>789</v>
      </c>
      <c r="N230" s="427">
        <f t="shared" si="1"/>
        <v>25640.910000000003</v>
      </c>
    </row>
    <row r="231" spans="1:14" s="129" customFormat="1" ht="26.4" x14ac:dyDescent="0.25">
      <c r="A231" s="583"/>
      <c r="B231" s="575" t="s">
        <v>596</v>
      </c>
      <c r="C231" s="307" t="s">
        <v>600</v>
      </c>
      <c r="D231" s="188" t="s">
        <v>15</v>
      </c>
      <c r="E231" s="320" t="s">
        <v>221</v>
      </c>
      <c r="F231" s="189" t="s">
        <v>601</v>
      </c>
      <c r="G231" s="322" t="s">
        <v>602</v>
      </c>
      <c r="H231" s="190" t="s">
        <v>225</v>
      </c>
      <c r="I231" s="308" t="s">
        <v>5</v>
      </c>
      <c r="J231" s="139">
        <v>96237.54</v>
      </c>
      <c r="K231" s="324">
        <f>51987.85+27802.96+13636.87+30978.42</f>
        <v>124406.09999999999</v>
      </c>
      <c r="L231" s="584">
        <f>K231</f>
        <v>124406.09999999999</v>
      </c>
      <c r="M231" s="343" t="s">
        <v>339</v>
      </c>
      <c r="N231" s="427">
        <f t="shared" si="1"/>
        <v>28168.559999999998</v>
      </c>
    </row>
    <row r="232" spans="1:14" s="129" customFormat="1" ht="26.4" x14ac:dyDescent="0.25">
      <c r="A232" s="583"/>
      <c r="B232" s="575" t="s">
        <v>602</v>
      </c>
      <c r="C232" s="307" t="s">
        <v>603</v>
      </c>
      <c r="D232" s="188" t="s">
        <v>15</v>
      </c>
      <c r="E232" s="320" t="s">
        <v>221</v>
      </c>
      <c r="F232" s="189" t="s">
        <v>604</v>
      </c>
      <c r="G232" s="322" t="s">
        <v>605</v>
      </c>
      <c r="H232" s="190" t="s">
        <v>225</v>
      </c>
      <c r="I232" s="308" t="s">
        <v>5</v>
      </c>
      <c r="J232" s="139">
        <v>39048.480000000003</v>
      </c>
      <c r="K232" s="324">
        <f>16096.32+16240+794.88+9637.92+5917.28</f>
        <v>48686.399999999994</v>
      </c>
      <c r="L232" s="584">
        <f>K232</f>
        <v>48686.399999999994</v>
      </c>
      <c r="M232" s="343" t="s">
        <v>343</v>
      </c>
      <c r="N232" s="427">
        <f t="shared" si="1"/>
        <v>9637.919999999991</v>
      </c>
    </row>
    <row r="233" spans="1:14" s="129" customFormat="1" ht="39.6" x14ac:dyDescent="0.25">
      <c r="A233" s="583"/>
      <c r="B233" s="575" t="s">
        <v>606</v>
      </c>
      <c r="C233" s="307" t="s">
        <v>607</v>
      </c>
      <c r="D233" s="188" t="s">
        <v>15</v>
      </c>
      <c r="E233" s="320" t="s">
        <v>221</v>
      </c>
      <c r="F233" s="189" t="s">
        <v>608</v>
      </c>
      <c r="G233" s="322" t="s">
        <v>606</v>
      </c>
      <c r="H233" s="190" t="s">
        <v>225</v>
      </c>
      <c r="I233" s="308" t="s">
        <v>5</v>
      </c>
      <c r="J233" s="139">
        <v>7621.55</v>
      </c>
      <c r="K233" s="324">
        <f>3067.81</f>
        <v>3067.81</v>
      </c>
      <c r="L233" s="584">
        <f>3067.81</f>
        <v>3067.81</v>
      </c>
      <c r="M233" s="344" t="s">
        <v>772</v>
      </c>
      <c r="N233" s="427">
        <f t="shared" si="1"/>
        <v>-4553.74</v>
      </c>
    </row>
    <row r="234" spans="1:14" s="129" customFormat="1" ht="26.4" x14ac:dyDescent="0.25">
      <c r="A234" s="583"/>
      <c r="B234" s="575" t="s">
        <v>609</v>
      </c>
      <c r="C234" s="307" t="s">
        <v>610</v>
      </c>
      <c r="D234" s="188" t="s">
        <v>15</v>
      </c>
      <c r="E234" s="320" t="s">
        <v>221</v>
      </c>
      <c r="F234" s="189" t="s">
        <v>611</v>
      </c>
      <c r="G234" s="322" t="s">
        <v>612</v>
      </c>
      <c r="H234" s="190" t="s">
        <v>225</v>
      </c>
      <c r="I234" s="308" t="s">
        <v>5</v>
      </c>
      <c r="J234" s="139">
        <v>18989.189999999999</v>
      </c>
      <c r="K234" s="324">
        <f>9582.86+9406.33+7170.91+814.01</f>
        <v>26974.11</v>
      </c>
      <c r="L234" s="584">
        <f>K234</f>
        <v>26974.11</v>
      </c>
      <c r="M234" s="343" t="s">
        <v>339</v>
      </c>
      <c r="N234" s="427">
        <f t="shared" si="1"/>
        <v>7984.9200000000019</v>
      </c>
    </row>
    <row r="235" spans="1:14" s="129" customFormat="1" ht="26.4" x14ac:dyDescent="0.25">
      <c r="A235" s="583"/>
      <c r="B235" s="575" t="s">
        <v>613</v>
      </c>
      <c r="C235" s="307" t="s">
        <v>614</v>
      </c>
      <c r="D235" s="188" t="s">
        <v>15</v>
      </c>
      <c r="E235" s="493" t="s">
        <v>598</v>
      </c>
      <c r="F235" s="189" t="s">
        <v>615</v>
      </c>
      <c r="G235" s="322" t="s">
        <v>609</v>
      </c>
      <c r="H235" s="190" t="s">
        <v>225</v>
      </c>
      <c r="I235" s="308" t="s">
        <v>5</v>
      </c>
      <c r="J235" s="139">
        <v>9709.4599999999991</v>
      </c>
      <c r="K235" s="324">
        <v>8338.0400000000009</v>
      </c>
      <c r="L235" s="584">
        <f>K235</f>
        <v>8338.0400000000009</v>
      </c>
      <c r="M235" s="343" t="s">
        <v>343</v>
      </c>
      <c r="N235" s="427">
        <f t="shared" si="1"/>
        <v>-1371.4199999999983</v>
      </c>
    </row>
    <row r="236" spans="1:14" s="129" customFormat="1" ht="39.6" x14ac:dyDescent="0.25">
      <c r="A236" s="583"/>
      <c r="B236" s="575" t="s">
        <v>605</v>
      </c>
      <c r="C236" s="307" t="s">
        <v>616</v>
      </c>
      <c r="D236" s="188" t="s">
        <v>15</v>
      </c>
      <c r="E236" s="320" t="s">
        <v>221</v>
      </c>
      <c r="F236" s="189" t="s">
        <v>617</v>
      </c>
      <c r="G236" s="322" t="s">
        <v>613</v>
      </c>
      <c r="H236" s="190" t="s">
        <v>225</v>
      </c>
      <c r="I236" s="308" t="s">
        <v>5</v>
      </c>
      <c r="J236" s="139">
        <v>14373.99</v>
      </c>
      <c r="K236" s="324">
        <f>10000+4093.49</f>
        <v>14093.49</v>
      </c>
      <c r="L236" s="584">
        <f>10000+4093.49</f>
        <v>14093.49</v>
      </c>
      <c r="M236" s="344" t="s">
        <v>341</v>
      </c>
      <c r="N236" s="427">
        <f t="shared" si="1"/>
        <v>-280.5</v>
      </c>
    </row>
    <row r="237" spans="1:14" s="129" customFormat="1" ht="52.8" x14ac:dyDescent="0.25">
      <c r="A237" s="583"/>
      <c r="B237" s="575" t="s">
        <v>618</v>
      </c>
      <c r="C237" s="307" t="s">
        <v>619</v>
      </c>
      <c r="D237" s="188" t="s">
        <v>15</v>
      </c>
      <c r="E237" s="306" t="s">
        <v>4</v>
      </c>
      <c r="F237" s="189" t="s">
        <v>620</v>
      </c>
      <c r="G237" s="306" t="s">
        <v>621</v>
      </c>
      <c r="H237" s="190" t="s">
        <v>225</v>
      </c>
      <c r="I237" s="308" t="s">
        <v>5</v>
      </c>
      <c r="J237" s="139">
        <v>361985.32</v>
      </c>
      <c r="K237" s="324">
        <f>11062.39</f>
        <v>11062.39</v>
      </c>
      <c r="L237" s="584">
        <f>142479.94+K237</f>
        <v>153542.33000000002</v>
      </c>
      <c r="M237" s="344" t="s">
        <v>341</v>
      </c>
      <c r="N237" s="427">
        <f t="shared" si="1"/>
        <v>-208442.99</v>
      </c>
    </row>
    <row r="238" spans="1:14" s="129" customFormat="1" ht="26.4" x14ac:dyDescent="0.25">
      <c r="A238" s="583"/>
      <c r="B238" s="575" t="s">
        <v>612</v>
      </c>
      <c r="C238" s="307" t="s">
        <v>622</v>
      </c>
      <c r="D238" s="188" t="s">
        <v>15</v>
      </c>
      <c r="E238" s="306" t="s">
        <v>4</v>
      </c>
      <c r="F238" s="189" t="s">
        <v>623</v>
      </c>
      <c r="G238" s="322" t="s">
        <v>624</v>
      </c>
      <c r="H238" s="190" t="s">
        <v>225</v>
      </c>
      <c r="I238" s="308" t="s">
        <v>5</v>
      </c>
      <c r="J238" s="139">
        <v>147505.04999999999</v>
      </c>
      <c r="K238" s="324">
        <f>88503.03</f>
        <v>88503.03</v>
      </c>
      <c r="L238" s="584">
        <f>K238</f>
        <v>88503.03</v>
      </c>
      <c r="M238" s="343" t="s">
        <v>790</v>
      </c>
      <c r="N238" s="427">
        <f t="shared" si="1"/>
        <v>-59002.01999999999</v>
      </c>
    </row>
    <row r="239" spans="1:14" s="129" customFormat="1" ht="39.6" x14ac:dyDescent="0.25">
      <c r="A239" s="583"/>
      <c r="B239" s="575" t="s">
        <v>624</v>
      </c>
      <c r="C239" s="307" t="s">
        <v>625</v>
      </c>
      <c r="D239" s="188" t="s">
        <v>15</v>
      </c>
      <c r="E239" s="320" t="s">
        <v>221</v>
      </c>
      <c r="F239" s="189" t="s">
        <v>626</v>
      </c>
      <c r="G239" s="322" t="s">
        <v>627</v>
      </c>
      <c r="H239" s="190" t="s">
        <v>225</v>
      </c>
      <c r="I239" s="308" t="s">
        <v>5</v>
      </c>
      <c r="J239" s="139">
        <v>145574.49</v>
      </c>
      <c r="K239" s="324">
        <f>32027.23+99623.64+4228.58+13919.98</f>
        <v>149799.43</v>
      </c>
      <c r="L239" s="584">
        <f>K239</f>
        <v>149799.43</v>
      </c>
      <c r="M239" s="343" t="s">
        <v>343</v>
      </c>
      <c r="N239" s="427">
        <f t="shared" si="1"/>
        <v>4224.9400000000023</v>
      </c>
    </row>
    <row r="240" spans="1:14" s="129" customFormat="1" ht="26.4" x14ac:dyDescent="0.25">
      <c r="A240" s="583"/>
      <c r="B240" s="575" t="s">
        <v>627</v>
      </c>
      <c r="C240" s="307" t="s">
        <v>628</v>
      </c>
      <c r="D240" s="188" t="s">
        <v>15</v>
      </c>
      <c r="E240" s="320" t="s">
        <v>221</v>
      </c>
      <c r="F240" s="189" t="s">
        <v>629</v>
      </c>
      <c r="G240" s="306" t="s">
        <v>630</v>
      </c>
      <c r="H240" s="190" t="s">
        <v>225</v>
      </c>
      <c r="I240" s="308" t="s">
        <v>5</v>
      </c>
      <c r="J240" s="139">
        <v>13999.19</v>
      </c>
      <c r="K240" s="324">
        <f>13980.46</f>
        <v>13980.46</v>
      </c>
      <c r="L240" s="584">
        <f>K240</f>
        <v>13980.46</v>
      </c>
      <c r="M240" s="344" t="s">
        <v>343</v>
      </c>
      <c r="N240" s="427">
        <f t="shared" si="1"/>
        <v>-18.730000000001382</v>
      </c>
    </row>
    <row r="241" spans="1:14" s="129" customFormat="1" ht="39.6" x14ac:dyDescent="0.25">
      <c r="A241" s="583"/>
      <c r="B241" s="575" t="s">
        <v>630</v>
      </c>
      <c r="C241" s="307" t="s">
        <v>631</v>
      </c>
      <c r="D241" s="188" t="s">
        <v>15</v>
      </c>
      <c r="E241" s="306" t="s">
        <v>580</v>
      </c>
      <c r="F241" s="189" t="s">
        <v>632</v>
      </c>
      <c r="G241" s="306" t="s">
        <v>580</v>
      </c>
      <c r="H241" s="190" t="s">
        <v>225</v>
      </c>
      <c r="I241" s="308" t="s">
        <v>5</v>
      </c>
      <c r="J241" s="139" t="s">
        <v>580</v>
      </c>
      <c r="K241" s="494" t="s">
        <v>580</v>
      </c>
      <c r="L241" s="585" t="s">
        <v>580</v>
      </c>
      <c r="N241" s="427" t="e">
        <f t="shared" si="1"/>
        <v>#VALUE!</v>
      </c>
    </row>
    <row r="242" spans="1:14" s="129" customFormat="1" ht="52.8" x14ac:dyDescent="0.25">
      <c r="A242" s="583"/>
      <c r="B242" s="575" t="s">
        <v>633</v>
      </c>
      <c r="C242" s="307" t="s">
        <v>634</v>
      </c>
      <c r="D242" s="188" t="s">
        <v>15</v>
      </c>
      <c r="E242" s="306" t="s">
        <v>436</v>
      </c>
      <c r="F242" s="189" t="s">
        <v>635</v>
      </c>
      <c r="G242" s="306" t="s">
        <v>436</v>
      </c>
      <c r="H242" s="190" t="s">
        <v>225</v>
      </c>
      <c r="I242" s="308" t="s">
        <v>5</v>
      </c>
      <c r="J242" s="139" t="s">
        <v>436</v>
      </c>
      <c r="K242" s="494" t="s">
        <v>436</v>
      </c>
      <c r="L242" s="585" t="s">
        <v>436</v>
      </c>
      <c r="N242" s="427" t="e">
        <f t="shared" si="1"/>
        <v>#VALUE!</v>
      </c>
    </row>
    <row r="243" spans="1:14" s="348" customFormat="1" ht="24.6" x14ac:dyDescent="0.25">
      <c r="A243" s="582"/>
      <c r="B243" s="573"/>
      <c r="C243" s="939" t="s">
        <v>807</v>
      </c>
      <c r="D243" s="939"/>
      <c r="E243" s="939"/>
      <c r="F243" s="939"/>
      <c r="G243" s="939"/>
      <c r="H243" s="939"/>
      <c r="I243" s="939"/>
      <c r="J243" s="939"/>
      <c r="K243" s="939"/>
      <c r="L243" s="940"/>
    </row>
    <row r="244" spans="1:14" s="129" customFormat="1" ht="39.6" x14ac:dyDescent="0.25">
      <c r="A244" s="583"/>
      <c r="B244" s="575" t="s">
        <v>636</v>
      </c>
      <c r="C244" s="307" t="s">
        <v>637</v>
      </c>
      <c r="D244" s="188" t="s">
        <v>15</v>
      </c>
      <c r="E244" s="187" t="s">
        <v>580</v>
      </c>
      <c r="F244" s="323" t="s">
        <v>638</v>
      </c>
      <c r="G244" s="187" t="s">
        <v>580</v>
      </c>
      <c r="H244" s="190" t="s">
        <v>225</v>
      </c>
      <c r="I244" s="308" t="s">
        <v>5</v>
      </c>
      <c r="J244" s="187" t="s">
        <v>580</v>
      </c>
      <c r="K244" s="187" t="s">
        <v>580</v>
      </c>
      <c r="L244" s="586" t="s">
        <v>580</v>
      </c>
    </row>
    <row r="245" spans="1:14" s="129" customFormat="1" ht="52.8" x14ac:dyDescent="0.25">
      <c r="A245" s="583"/>
      <c r="B245" s="575" t="s">
        <v>639</v>
      </c>
      <c r="C245" s="307" t="s">
        <v>640</v>
      </c>
      <c r="D245" s="188" t="s">
        <v>15</v>
      </c>
      <c r="E245" s="187" t="s">
        <v>221</v>
      </c>
      <c r="F245" s="323" t="s">
        <v>642</v>
      </c>
      <c r="G245" s="322" t="s">
        <v>636</v>
      </c>
      <c r="H245" s="190" t="s">
        <v>225</v>
      </c>
      <c r="I245" s="308" t="s">
        <v>5</v>
      </c>
      <c r="J245" s="189" t="s">
        <v>643</v>
      </c>
      <c r="K245" s="326">
        <f>8262.71</f>
        <v>8262.7099999999991</v>
      </c>
      <c r="L245" s="587">
        <f>K245</f>
        <v>8262.7099999999991</v>
      </c>
      <c r="M245" s="344" t="s">
        <v>343</v>
      </c>
    </row>
    <row r="246" spans="1:14" s="129" customFormat="1" ht="39.6" x14ac:dyDescent="0.25">
      <c r="A246" s="583"/>
      <c r="B246" s="575" t="s">
        <v>645</v>
      </c>
      <c r="C246" s="307" t="s">
        <v>646</v>
      </c>
      <c r="D246" s="188" t="s">
        <v>15</v>
      </c>
      <c r="E246" s="187" t="s">
        <v>580</v>
      </c>
      <c r="F246" s="323" t="s">
        <v>647</v>
      </c>
      <c r="G246" s="187" t="s">
        <v>580</v>
      </c>
      <c r="H246" s="190" t="s">
        <v>225</v>
      </c>
      <c r="I246" s="308" t="s">
        <v>5</v>
      </c>
      <c r="J246" s="187" t="s">
        <v>580</v>
      </c>
      <c r="K246" s="187" t="s">
        <v>580</v>
      </c>
      <c r="L246" s="586" t="s">
        <v>580</v>
      </c>
      <c r="M246" s="343"/>
    </row>
    <row r="247" spans="1:14" s="129" customFormat="1" ht="39.6" x14ac:dyDescent="0.25">
      <c r="A247" s="583"/>
      <c r="B247" s="575" t="s">
        <v>648</v>
      </c>
      <c r="C247" s="307" t="s">
        <v>649</v>
      </c>
      <c r="D247" s="188" t="s">
        <v>15</v>
      </c>
      <c r="E247" s="187" t="s">
        <v>580</v>
      </c>
      <c r="F247" s="323" t="s">
        <v>650</v>
      </c>
      <c r="G247" s="187" t="s">
        <v>580</v>
      </c>
      <c r="H247" s="190" t="s">
        <v>225</v>
      </c>
      <c r="I247" s="308" t="s">
        <v>5</v>
      </c>
      <c r="J247" s="187" t="s">
        <v>580</v>
      </c>
      <c r="K247" s="187" t="s">
        <v>580</v>
      </c>
      <c r="L247" s="586" t="s">
        <v>580</v>
      </c>
      <c r="M247" s="343"/>
    </row>
    <row r="248" spans="1:14" s="129" customFormat="1" ht="39.6" x14ac:dyDescent="0.25">
      <c r="A248" s="583"/>
      <c r="B248" s="575" t="s">
        <v>621</v>
      </c>
      <c r="C248" s="307" t="s">
        <v>651</v>
      </c>
      <c r="D248" s="188" t="s">
        <v>15</v>
      </c>
      <c r="E248" s="187" t="s">
        <v>580</v>
      </c>
      <c r="F248" s="323" t="s">
        <v>652</v>
      </c>
      <c r="G248" s="187" t="s">
        <v>580</v>
      </c>
      <c r="H248" s="190" t="s">
        <v>225</v>
      </c>
      <c r="I248" s="308" t="s">
        <v>5</v>
      </c>
      <c r="J248" s="187" t="s">
        <v>580</v>
      </c>
      <c r="K248" s="187" t="s">
        <v>580</v>
      </c>
      <c r="L248" s="586" t="s">
        <v>580</v>
      </c>
      <c r="M248" s="343"/>
    </row>
    <row r="249" spans="1:14" s="129" customFormat="1" ht="39.6" x14ac:dyDescent="0.25">
      <c r="A249" s="583"/>
      <c r="B249" s="575" t="s">
        <v>653</v>
      </c>
      <c r="C249" s="307" t="s">
        <v>654</v>
      </c>
      <c r="D249" s="188" t="s">
        <v>15</v>
      </c>
      <c r="E249" s="187" t="s">
        <v>641</v>
      </c>
      <c r="F249" s="323" t="s">
        <v>655</v>
      </c>
      <c r="G249" s="322" t="s">
        <v>633</v>
      </c>
      <c r="H249" s="190" t="s">
        <v>225</v>
      </c>
      <c r="I249" s="308" t="s">
        <v>5</v>
      </c>
      <c r="J249" s="189" t="s">
        <v>656</v>
      </c>
      <c r="K249" s="322" t="s">
        <v>644</v>
      </c>
      <c r="L249" s="588" t="s">
        <v>644</v>
      </c>
      <c r="M249" s="343" t="s">
        <v>791</v>
      </c>
    </row>
    <row r="250" spans="1:14" s="129" customFormat="1" ht="39.6" x14ac:dyDescent="0.25">
      <c r="A250" s="583"/>
      <c r="B250" s="575" t="s">
        <v>657</v>
      </c>
      <c r="C250" s="307" t="s">
        <v>658</v>
      </c>
      <c r="D250" s="188" t="s">
        <v>15</v>
      </c>
      <c r="E250" s="187" t="s">
        <v>641</v>
      </c>
      <c r="F250" s="321" t="s">
        <v>659</v>
      </c>
      <c r="G250" s="322" t="s">
        <v>639</v>
      </c>
      <c r="H250" s="190" t="s">
        <v>225</v>
      </c>
      <c r="I250" s="308" t="s">
        <v>5</v>
      </c>
      <c r="J250" s="189" t="s">
        <v>660</v>
      </c>
      <c r="K250" s="326">
        <f>114825.94+78324.45+74726.77+52677.57+30124.2</f>
        <v>350678.93000000005</v>
      </c>
      <c r="L250" s="588" t="s">
        <v>792</v>
      </c>
      <c r="M250" s="343" t="s">
        <v>343</v>
      </c>
    </row>
    <row r="251" spans="1:14" s="129" customFormat="1" ht="39.6" x14ac:dyDescent="0.25">
      <c r="A251" s="583"/>
      <c r="B251" s="575" t="s">
        <v>661</v>
      </c>
      <c r="C251" s="307" t="s">
        <v>662</v>
      </c>
      <c r="D251" s="188" t="s">
        <v>15</v>
      </c>
      <c r="E251" s="187" t="s">
        <v>663</v>
      </c>
      <c r="F251" s="321" t="s">
        <v>664</v>
      </c>
      <c r="G251" s="187" t="s">
        <v>663</v>
      </c>
      <c r="H251" s="190" t="s">
        <v>225</v>
      </c>
      <c r="I251" s="308" t="s">
        <v>5</v>
      </c>
      <c r="J251" s="187" t="s">
        <v>663</v>
      </c>
      <c r="K251" s="187" t="s">
        <v>663</v>
      </c>
      <c r="L251" s="586" t="s">
        <v>663</v>
      </c>
    </row>
    <row r="252" spans="1:14" s="129" customFormat="1" ht="39.6" x14ac:dyDescent="0.25">
      <c r="A252" s="583"/>
      <c r="B252" s="575" t="s">
        <v>665</v>
      </c>
      <c r="C252" s="307" t="s">
        <v>666</v>
      </c>
      <c r="D252" s="188" t="s">
        <v>15</v>
      </c>
      <c r="E252" s="187" t="s">
        <v>641</v>
      </c>
      <c r="F252" s="321" t="s">
        <v>667</v>
      </c>
      <c r="G252" s="322" t="s">
        <v>648</v>
      </c>
      <c r="H252" s="190" t="s">
        <v>225</v>
      </c>
      <c r="I252" s="308" t="s">
        <v>5</v>
      </c>
      <c r="J252" s="322" t="s">
        <v>668</v>
      </c>
      <c r="K252" s="326">
        <f>10394.96+11374.69+11374.69+7923.55+30140.08</f>
        <v>71207.97</v>
      </c>
      <c r="L252" s="587">
        <f>62248.1+30645.2+41181.32+80000+K252</f>
        <v>285282.58999999997</v>
      </c>
      <c r="M252" s="185" t="s">
        <v>339</v>
      </c>
    </row>
    <row r="253" spans="1:14" s="129" customFormat="1" ht="39.6" x14ac:dyDescent="0.25">
      <c r="A253" s="583"/>
      <c r="B253" s="575" t="s">
        <v>669</v>
      </c>
      <c r="C253" s="307" t="s">
        <v>670</v>
      </c>
      <c r="D253" s="188" t="s">
        <v>15</v>
      </c>
      <c r="E253" s="187" t="s">
        <v>793</v>
      </c>
      <c r="F253" s="321" t="s">
        <v>672</v>
      </c>
      <c r="G253" s="187" t="s">
        <v>793</v>
      </c>
      <c r="H253" s="190" t="s">
        <v>225</v>
      </c>
      <c r="I253" s="308" t="s">
        <v>5</v>
      </c>
      <c r="J253" s="187" t="s">
        <v>793</v>
      </c>
      <c r="K253" s="187" t="s">
        <v>793</v>
      </c>
      <c r="L253" s="586" t="s">
        <v>793</v>
      </c>
    </row>
    <row r="254" spans="1:14" s="129" customFormat="1" ht="39.6" x14ac:dyDescent="0.25">
      <c r="A254" s="583"/>
      <c r="B254" s="575" t="s">
        <v>673</v>
      </c>
      <c r="C254" s="307" t="s">
        <v>674</v>
      </c>
      <c r="D254" s="188" t="s">
        <v>15</v>
      </c>
      <c r="E254" s="187" t="s">
        <v>641</v>
      </c>
      <c r="F254" s="323" t="s">
        <v>675</v>
      </c>
      <c r="G254" s="325" t="s">
        <v>684</v>
      </c>
      <c r="H254" s="190" t="s">
        <v>225</v>
      </c>
      <c r="I254" s="308" t="s">
        <v>5</v>
      </c>
      <c r="J254" s="189" t="s">
        <v>794</v>
      </c>
      <c r="K254" s="322" t="s">
        <v>644</v>
      </c>
      <c r="L254" s="588" t="s">
        <v>644</v>
      </c>
      <c r="M254" s="185" t="s">
        <v>337</v>
      </c>
    </row>
    <row r="255" spans="1:14" s="129" customFormat="1" ht="39.6" x14ac:dyDescent="0.25">
      <c r="A255" s="583"/>
      <c r="B255" s="575" t="s">
        <v>676</v>
      </c>
      <c r="C255" s="307" t="s">
        <v>677</v>
      </c>
      <c r="D255" s="188" t="s">
        <v>15</v>
      </c>
      <c r="E255" s="187" t="s">
        <v>598</v>
      </c>
      <c r="F255" s="323" t="s">
        <v>678</v>
      </c>
      <c r="G255" s="306" t="s">
        <v>657</v>
      </c>
      <c r="H255" s="190" t="s">
        <v>225</v>
      </c>
      <c r="I255" s="308" t="s">
        <v>5</v>
      </c>
      <c r="J255" s="189" t="s">
        <v>679</v>
      </c>
      <c r="K255" s="322" t="s">
        <v>644</v>
      </c>
      <c r="L255" s="588" t="s">
        <v>644</v>
      </c>
    </row>
    <row r="256" spans="1:14" s="129" customFormat="1" ht="39.6" x14ac:dyDescent="0.25">
      <c r="A256" s="583"/>
      <c r="B256" s="575" t="s">
        <v>680</v>
      </c>
      <c r="C256" s="307" t="s">
        <v>651</v>
      </c>
      <c r="D256" s="188" t="s">
        <v>15</v>
      </c>
      <c r="E256" s="187" t="s">
        <v>221</v>
      </c>
      <c r="F256" s="323" t="s">
        <v>681</v>
      </c>
      <c r="G256" s="306" t="s">
        <v>682</v>
      </c>
      <c r="H256" s="190" t="s">
        <v>225</v>
      </c>
      <c r="I256" s="308" t="s">
        <v>5</v>
      </c>
      <c r="J256" s="189" t="s">
        <v>683</v>
      </c>
      <c r="K256" s="326">
        <f>17649+12373.57+32381.37</f>
        <v>62403.94</v>
      </c>
      <c r="L256" s="587">
        <f>K256</f>
        <v>62403.94</v>
      </c>
      <c r="M256" s="185" t="s">
        <v>339</v>
      </c>
    </row>
    <row r="257" spans="1:13" s="129" customFormat="1" ht="39.6" x14ac:dyDescent="0.25">
      <c r="A257" s="583"/>
      <c r="B257" s="575" t="s">
        <v>684</v>
      </c>
      <c r="C257" s="307" t="s">
        <v>685</v>
      </c>
      <c r="D257" s="188" t="s">
        <v>15</v>
      </c>
      <c r="E257" s="187" t="s">
        <v>641</v>
      </c>
      <c r="F257" s="321" t="s">
        <v>686</v>
      </c>
      <c r="G257" s="322" t="s">
        <v>665</v>
      </c>
      <c r="H257" s="190" t="s">
        <v>225</v>
      </c>
      <c r="I257" s="308" t="s">
        <v>5</v>
      </c>
      <c r="J257" s="189" t="s">
        <v>687</v>
      </c>
      <c r="K257" s="326">
        <f>23622.38+25411.7+15565.34</f>
        <v>64599.42</v>
      </c>
      <c r="L257" s="587">
        <f>467258.19+K257</f>
        <v>531857.61</v>
      </c>
      <c r="M257" s="185" t="s">
        <v>343</v>
      </c>
    </row>
    <row r="258" spans="1:13" s="129" customFormat="1" ht="39.6" x14ac:dyDescent="0.25">
      <c r="A258" s="583"/>
      <c r="B258" s="575" t="s">
        <v>688</v>
      </c>
      <c r="C258" s="307" t="s">
        <v>689</v>
      </c>
      <c r="D258" s="188" t="s">
        <v>15</v>
      </c>
      <c r="E258" s="325" t="s">
        <v>580</v>
      </c>
      <c r="F258" s="323" t="s">
        <v>690</v>
      </c>
      <c r="G258" s="325" t="s">
        <v>580</v>
      </c>
      <c r="H258" s="190" t="s">
        <v>225</v>
      </c>
      <c r="I258" s="308" t="s">
        <v>5</v>
      </c>
      <c r="J258" s="325" t="s">
        <v>580</v>
      </c>
      <c r="K258" s="325" t="s">
        <v>580</v>
      </c>
      <c r="L258" s="589" t="s">
        <v>580</v>
      </c>
    </row>
    <row r="259" spans="1:13" s="129" customFormat="1" ht="39.6" x14ac:dyDescent="0.25">
      <c r="A259" s="583"/>
      <c r="B259" s="575" t="s">
        <v>691</v>
      </c>
      <c r="C259" s="307" t="s">
        <v>692</v>
      </c>
      <c r="D259" s="188" t="s">
        <v>15</v>
      </c>
      <c r="E259" s="187" t="s">
        <v>641</v>
      </c>
      <c r="F259" s="321" t="s">
        <v>693</v>
      </c>
      <c r="G259" s="322" t="s">
        <v>669</v>
      </c>
      <c r="H259" s="190" t="s">
        <v>225</v>
      </c>
      <c r="I259" s="308" t="s">
        <v>5</v>
      </c>
      <c r="J259" s="189" t="s">
        <v>694</v>
      </c>
      <c r="K259" s="326">
        <f>26268.37+75954.7679417+25115.46+25753.07+14614.33</f>
        <v>167705.99794169998</v>
      </c>
      <c r="L259" s="587">
        <f>7335.76+K259</f>
        <v>175041.75794169999</v>
      </c>
      <c r="M259" s="185" t="s">
        <v>343</v>
      </c>
    </row>
    <row r="260" spans="1:13" s="129" customFormat="1" ht="39.6" x14ac:dyDescent="0.25">
      <c r="A260" s="583"/>
      <c r="B260" s="575" t="s">
        <v>695</v>
      </c>
      <c r="C260" s="307" t="s">
        <v>696</v>
      </c>
      <c r="D260" s="188" t="s">
        <v>15</v>
      </c>
      <c r="E260" s="187" t="s">
        <v>221</v>
      </c>
      <c r="F260" s="323" t="s">
        <v>697</v>
      </c>
      <c r="G260" s="322" t="s">
        <v>661</v>
      </c>
      <c r="H260" s="190" t="s">
        <v>225</v>
      </c>
      <c r="I260" s="495" t="s">
        <v>5</v>
      </c>
      <c r="J260" s="305">
        <v>41595.72</v>
      </c>
      <c r="K260" s="326">
        <f>10045.74+10381.25</f>
        <v>20426.989999999998</v>
      </c>
      <c r="L260" s="587">
        <f>31066.25+K260</f>
        <v>51493.24</v>
      </c>
      <c r="M260" s="185" t="s">
        <v>791</v>
      </c>
    </row>
    <row r="261" spans="1:13" s="129" customFormat="1" ht="40.799999999999997" x14ac:dyDescent="0.25">
      <c r="A261" s="583"/>
      <c r="B261" s="575" t="s">
        <v>698</v>
      </c>
      <c r="C261" s="307" t="s">
        <v>699</v>
      </c>
      <c r="D261" s="188" t="s">
        <v>15</v>
      </c>
      <c r="E261" s="187" t="s">
        <v>671</v>
      </c>
      <c r="F261" s="321" t="s">
        <v>700</v>
      </c>
      <c r="G261" s="187" t="s">
        <v>671</v>
      </c>
      <c r="H261" s="190" t="s">
        <v>225</v>
      </c>
      <c r="I261" s="308" t="s">
        <v>5</v>
      </c>
      <c r="J261" s="187" t="s">
        <v>671</v>
      </c>
      <c r="K261" s="187" t="s">
        <v>671</v>
      </c>
      <c r="L261" s="586" t="s">
        <v>671</v>
      </c>
    </row>
    <row r="262" spans="1:13" s="129" customFormat="1" ht="39.6" x14ac:dyDescent="0.25">
      <c r="A262" s="583"/>
      <c r="B262" s="575" t="s">
        <v>701</v>
      </c>
      <c r="C262" s="307" t="s">
        <v>649</v>
      </c>
      <c r="D262" s="188" t="s">
        <v>15</v>
      </c>
      <c r="E262" s="325" t="s">
        <v>580</v>
      </c>
      <c r="F262" s="323" t="s">
        <v>650</v>
      </c>
      <c r="G262" s="325" t="s">
        <v>580</v>
      </c>
      <c r="H262" s="190" t="s">
        <v>225</v>
      </c>
      <c r="I262" s="308" t="s">
        <v>5</v>
      </c>
      <c r="J262" s="325" t="s">
        <v>580</v>
      </c>
      <c r="K262" s="325" t="s">
        <v>580</v>
      </c>
      <c r="L262" s="589" t="s">
        <v>580</v>
      </c>
    </row>
    <row r="263" spans="1:13" s="129" customFormat="1" ht="39.6" x14ac:dyDescent="0.25">
      <c r="A263" s="583"/>
      <c r="B263" s="575" t="s">
        <v>702</v>
      </c>
      <c r="C263" s="307" t="s">
        <v>703</v>
      </c>
      <c r="D263" s="188" t="s">
        <v>15</v>
      </c>
      <c r="E263" s="187" t="s">
        <v>641</v>
      </c>
      <c r="F263" s="323" t="s">
        <v>704</v>
      </c>
      <c r="G263" s="322" t="s">
        <v>673</v>
      </c>
      <c r="H263" s="190" t="s">
        <v>225</v>
      </c>
      <c r="I263" s="308" t="s">
        <v>5</v>
      </c>
      <c r="J263" s="326">
        <v>67408.289999999994</v>
      </c>
      <c r="K263" s="326">
        <f>16650.02+7179.26</f>
        <v>23829.279999999999</v>
      </c>
      <c r="L263" s="587">
        <f>23829.28</f>
        <v>23829.279999999999</v>
      </c>
      <c r="M263" s="185" t="s">
        <v>795</v>
      </c>
    </row>
    <row r="264" spans="1:13" s="129" customFormat="1" ht="39.6" x14ac:dyDescent="0.25">
      <c r="A264" s="583"/>
      <c r="B264" s="575" t="s">
        <v>705</v>
      </c>
      <c r="C264" s="307" t="s">
        <v>706</v>
      </c>
      <c r="D264" s="188" t="s">
        <v>15</v>
      </c>
      <c r="E264" s="187" t="s">
        <v>221</v>
      </c>
      <c r="F264" s="323" t="s">
        <v>707</v>
      </c>
      <c r="G264" s="322" t="s">
        <v>676</v>
      </c>
      <c r="H264" s="190" t="s">
        <v>225</v>
      </c>
      <c r="I264" s="308" t="s">
        <v>5</v>
      </c>
      <c r="J264" s="326">
        <v>147827.35999999999</v>
      </c>
      <c r="K264" s="326">
        <f>50357.64</f>
        <v>50357.64</v>
      </c>
      <c r="L264" s="587">
        <f>94074.76+K264</f>
        <v>144432.4</v>
      </c>
      <c r="M264" s="185" t="s">
        <v>334</v>
      </c>
    </row>
    <row r="265" spans="1:13" s="129" customFormat="1" ht="39.6" x14ac:dyDescent="0.3">
      <c r="A265" s="590"/>
      <c r="B265" s="575" t="s">
        <v>708</v>
      </c>
      <c r="C265" s="307" t="s">
        <v>709</v>
      </c>
      <c r="D265" s="188" t="s">
        <v>15</v>
      </c>
      <c r="E265" s="187" t="s">
        <v>221</v>
      </c>
      <c r="F265" s="321" t="s">
        <v>710</v>
      </c>
      <c r="G265" s="322" t="s">
        <v>711</v>
      </c>
      <c r="H265" s="190" t="s">
        <v>225</v>
      </c>
      <c r="I265" s="308" t="s">
        <v>397</v>
      </c>
      <c r="J265" s="322" t="s">
        <v>800</v>
      </c>
      <c r="K265" s="322" t="s">
        <v>861</v>
      </c>
      <c r="L265" s="588" t="s">
        <v>861</v>
      </c>
      <c r="M265" s="185" t="s">
        <v>339</v>
      </c>
    </row>
    <row r="266" spans="1:13" s="129" customFormat="1" ht="52.8" x14ac:dyDescent="0.25">
      <c r="A266" s="583"/>
      <c r="B266" s="575" t="s">
        <v>712</v>
      </c>
      <c r="C266" s="307" t="s">
        <v>713</v>
      </c>
      <c r="D266" s="188" t="s">
        <v>15</v>
      </c>
      <c r="E266" s="325" t="s">
        <v>580</v>
      </c>
      <c r="F266" s="323" t="s">
        <v>714</v>
      </c>
      <c r="G266" s="187" t="s">
        <v>580</v>
      </c>
      <c r="H266" s="190" t="s">
        <v>225</v>
      </c>
      <c r="I266" s="308" t="s">
        <v>5</v>
      </c>
      <c r="J266" s="325" t="s">
        <v>580</v>
      </c>
      <c r="K266" s="325" t="s">
        <v>580</v>
      </c>
      <c r="L266" s="589" t="s">
        <v>580</v>
      </c>
    </row>
    <row r="267" spans="1:13" s="348" customFormat="1" ht="24.6" x14ac:dyDescent="0.25">
      <c r="A267" s="582"/>
      <c r="B267" s="573"/>
      <c r="C267" s="939" t="s">
        <v>808</v>
      </c>
      <c r="D267" s="939"/>
      <c r="E267" s="939"/>
      <c r="F267" s="939"/>
      <c r="G267" s="939"/>
      <c r="H267" s="939"/>
      <c r="I267" s="939"/>
      <c r="J267" s="939"/>
      <c r="K267" s="939"/>
      <c r="L267" s="940"/>
    </row>
    <row r="268" spans="1:13" s="129" customFormat="1" ht="41.4" x14ac:dyDescent="0.25">
      <c r="A268" s="583"/>
      <c r="B268" s="576" t="s">
        <v>727</v>
      </c>
      <c r="C268" s="307" t="s">
        <v>715</v>
      </c>
      <c r="D268" s="188" t="s">
        <v>15</v>
      </c>
      <c r="E268" s="187" t="s">
        <v>221</v>
      </c>
      <c r="F268" s="323" t="s">
        <v>716</v>
      </c>
      <c r="G268" s="322" t="s">
        <v>680</v>
      </c>
      <c r="H268" s="190" t="s">
        <v>225</v>
      </c>
      <c r="I268" s="308" t="s">
        <v>5</v>
      </c>
      <c r="J268" s="326">
        <v>3000</v>
      </c>
      <c r="K268" s="326">
        <v>3000</v>
      </c>
      <c r="L268" s="587">
        <v>3000</v>
      </c>
    </row>
    <row r="269" spans="1:13" s="129" customFormat="1" ht="39.6" x14ac:dyDescent="0.25">
      <c r="A269" s="583"/>
      <c r="B269" s="576" t="s">
        <v>753</v>
      </c>
      <c r="C269" s="307" t="s">
        <v>717</v>
      </c>
      <c r="D269" s="188" t="s">
        <v>15</v>
      </c>
      <c r="E269" s="187" t="s">
        <v>221</v>
      </c>
      <c r="F269" s="323" t="s">
        <v>718</v>
      </c>
      <c r="G269" s="322" t="s">
        <v>701</v>
      </c>
      <c r="H269" s="190" t="s">
        <v>225</v>
      </c>
      <c r="I269" s="308" t="s">
        <v>5</v>
      </c>
      <c r="J269" s="326">
        <v>95983.15</v>
      </c>
      <c r="K269" s="326">
        <v>0</v>
      </c>
      <c r="L269" s="587">
        <v>0</v>
      </c>
      <c r="M269" s="129" t="s">
        <v>334</v>
      </c>
    </row>
    <row r="270" spans="1:13" s="129" customFormat="1" ht="39.6" x14ac:dyDescent="0.25">
      <c r="A270" s="583"/>
      <c r="B270" s="576" t="s">
        <v>745</v>
      </c>
      <c r="C270" s="307" t="s">
        <v>719</v>
      </c>
      <c r="D270" s="188" t="s">
        <v>15</v>
      </c>
      <c r="E270" s="187" t="s">
        <v>221</v>
      </c>
      <c r="F270" s="323" t="s">
        <v>720</v>
      </c>
      <c r="G270" s="322" t="s">
        <v>688</v>
      </c>
      <c r="H270" s="190" t="s">
        <v>225</v>
      </c>
      <c r="I270" s="308" t="s">
        <v>5</v>
      </c>
      <c r="J270" s="326">
        <v>54727.8</v>
      </c>
      <c r="K270" s="326">
        <f>13640</f>
        <v>13640</v>
      </c>
      <c r="L270" s="587">
        <f>54607.4+K270</f>
        <v>68247.399999999994</v>
      </c>
      <c r="M270" s="129" t="s">
        <v>774</v>
      </c>
    </row>
    <row r="271" spans="1:13" s="129" customFormat="1" ht="39.6" x14ac:dyDescent="0.25">
      <c r="A271" s="583"/>
      <c r="B271" s="576" t="s">
        <v>750</v>
      </c>
      <c r="C271" s="307" t="s">
        <v>721</v>
      </c>
      <c r="D271" s="188" t="s">
        <v>15</v>
      </c>
      <c r="E271" s="187" t="s">
        <v>221</v>
      </c>
      <c r="F271" s="321" t="s">
        <v>722</v>
      </c>
      <c r="G271" s="345" t="s">
        <v>691</v>
      </c>
      <c r="H271" s="190" t="s">
        <v>225</v>
      </c>
      <c r="I271" s="308" t="s">
        <v>5</v>
      </c>
      <c r="J271" s="326">
        <v>14532</v>
      </c>
      <c r="K271" s="326">
        <v>14532</v>
      </c>
      <c r="L271" s="587">
        <v>14532</v>
      </c>
      <c r="M271" s="185" t="s">
        <v>774</v>
      </c>
    </row>
    <row r="272" spans="1:13" s="129" customFormat="1" ht="30.75" customHeight="1" x14ac:dyDescent="0.25">
      <c r="A272" s="583"/>
      <c r="B272" s="576" t="s">
        <v>759</v>
      </c>
      <c r="C272" s="307" t="s">
        <v>723</v>
      </c>
      <c r="D272" s="188" t="s">
        <v>15</v>
      </c>
      <c r="E272" s="187" t="s">
        <v>221</v>
      </c>
      <c r="F272" s="321" t="s">
        <v>724</v>
      </c>
      <c r="G272" s="345" t="s">
        <v>691</v>
      </c>
      <c r="H272" s="190" t="s">
        <v>225</v>
      </c>
      <c r="I272" s="308" t="s">
        <v>5</v>
      </c>
      <c r="J272" s="326">
        <v>14620.5</v>
      </c>
      <c r="K272" s="326">
        <f>14620.5</f>
        <v>14620.5</v>
      </c>
      <c r="L272" s="587">
        <f>14620.5</f>
        <v>14620.5</v>
      </c>
      <c r="M272" s="185" t="s">
        <v>339</v>
      </c>
    </row>
    <row r="273" spans="1:13" s="129" customFormat="1" ht="39.6" x14ac:dyDescent="0.25">
      <c r="A273" s="583"/>
      <c r="B273" s="576" t="s">
        <v>762</v>
      </c>
      <c r="C273" s="307" t="s">
        <v>725</v>
      </c>
      <c r="D273" s="188" t="s">
        <v>15</v>
      </c>
      <c r="E273" s="187" t="s">
        <v>4</v>
      </c>
      <c r="F273" s="321" t="s">
        <v>726</v>
      </c>
      <c r="G273" s="345" t="s">
        <v>727</v>
      </c>
      <c r="H273" s="190" t="s">
        <v>225</v>
      </c>
      <c r="I273" s="308" t="s">
        <v>5</v>
      </c>
      <c r="J273" s="326">
        <v>1013999.14</v>
      </c>
      <c r="K273" s="326">
        <f>59767.85+30479.14+26666.82+33000+45646.29+10317.31+18084.85</f>
        <v>223962.26</v>
      </c>
      <c r="L273" s="587">
        <f>35903.16+K273</f>
        <v>259865.42</v>
      </c>
      <c r="M273" s="185" t="s">
        <v>343</v>
      </c>
    </row>
    <row r="274" spans="1:13" s="129" customFormat="1" ht="39.6" x14ac:dyDescent="0.25">
      <c r="A274" s="583"/>
      <c r="B274" s="576" t="s">
        <v>740</v>
      </c>
      <c r="C274" s="307" t="s">
        <v>728</v>
      </c>
      <c r="D274" s="188" t="s">
        <v>15</v>
      </c>
      <c r="E274" s="187" t="s">
        <v>221</v>
      </c>
      <c r="F274" s="321" t="s">
        <v>729</v>
      </c>
      <c r="G274" s="345" t="s">
        <v>698</v>
      </c>
      <c r="H274" s="190" t="s">
        <v>225</v>
      </c>
      <c r="I274" s="308" t="s">
        <v>5</v>
      </c>
      <c r="J274" s="326">
        <v>13990.9</v>
      </c>
      <c r="K274" s="326">
        <f>13977.55</f>
        <v>13977.55</v>
      </c>
      <c r="L274" s="587">
        <f>13977.55</f>
        <v>13977.55</v>
      </c>
      <c r="M274" s="344" t="s">
        <v>334</v>
      </c>
    </row>
    <row r="275" spans="1:13" s="129" customFormat="1" ht="31.5" customHeight="1" x14ac:dyDescent="0.25">
      <c r="A275" s="583"/>
      <c r="B275" s="576" t="s">
        <v>768</v>
      </c>
      <c r="C275" s="307" t="s">
        <v>730</v>
      </c>
      <c r="D275" s="188" t="s">
        <v>15</v>
      </c>
      <c r="E275" s="187" t="s">
        <v>221</v>
      </c>
      <c r="F275" s="321" t="s">
        <v>731</v>
      </c>
      <c r="G275" s="345" t="s">
        <v>702</v>
      </c>
      <c r="H275" s="190" t="s">
        <v>225</v>
      </c>
      <c r="I275" s="308" t="s">
        <v>5</v>
      </c>
      <c r="J275" s="326">
        <v>13886.36</v>
      </c>
      <c r="K275" s="326">
        <v>13886.36</v>
      </c>
      <c r="L275" s="587">
        <f>K275</f>
        <v>13886.36</v>
      </c>
      <c r="M275" s="344" t="s">
        <v>774</v>
      </c>
    </row>
    <row r="276" spans="1:13" s="129" customFormat="1" ht="40.799999999999997" x14ac:dyDescent="0.25">
      <c r="A276" s="583"/>
      <c r="B276" s="576" t="s">
        <v>756</v>
      </c>
      <c r="C276" s="307" t="s">
        <v>732</v>
      </c>
      <c r="D276" s="188" t="s">
        <v>15</v>
      </c>
      <c r="E276" s="187" t="s">
        <v>671</v>
      </c>
      <c r="F276" s="345" t="s">
        <v>733</v>
      </c>
      <c r="G276" s="187" t="s">
        <v>671</v>
      </c>
      <c r="H276" s="190" t="s">
        <v>225</v>
      </c>
      <c r="I276" s="308" t="s">
        <v>5</v>
      </c>
      <c r="J276" s="187" t="s">
        <v>671</v>
      </c>
      <c r="K276" s="187" t="s">
        <v>671</v>
      </c>
      <c r="L276" s="586" t="s">
        <v>671</v>
      </c>
    </row>
    <row r="277" spans="1:13" s="129" customFormat="1" ht="30.6" x14ac:dyDescent="0.25">
      <c r="A277" s="583"/>
      <c r="B277" s="576" t="s">
        <v>771</v>
      </c>
      <c r="C277" s="307" t="s">
        <v>734</v>
      </c>
      <c r="D277" s="188" t="s">
        <v>15</v>
      </c>
      <c r="E277" s="187" t="s">
        <v>436</v>
      </c>
      <c r="F277" s="345" t="s">
        <v>735</v>
      </c>
      <c r="G277" s="187" t="s">
        <v>436</v>
      </c>
      <c r="H277" s="190" t="s">
        <v>225</v>
      </c>
      <c r="I277" s="308" t="s">
        <v>5</v>
      </c>
      <c r="J277" s="187" t="s">
        <v>436</v>
      </c>
      <c r="K277" s="187" t="s">
        <v>436</v>
      </c>
      <c r="L277" s="586" t="s">
        <v>436</v>
      </c>
    </row>
    <row r="278" spans="1:13" s="129" customFormat="1" ht="39.6" x14ac:dyDescent="0.25">
      <c r="A278" s="583"/>
      <c r="B278" s="576" t="s">
        <v>775</v>
      </c>
      <c r="C278" s="307" t="s">
        <v>736</v>
      </c>
      <c r="D278" s="188" t="s">
        <v>15</v>
      </c>
      <c r="E278" s="187" t="s">
        <v>221</v>
      </c>
      <c r="F278" s="323" t="s">
        <v>737</v>
      </c>
      <c r="G278" s="345" t="s">
        <v>705</v>
      </c>
      <c r="H278" s="190" t="s">
        <v>225</v>
      </c>
      <c r="I278" s="308" t="s">
        <v>5</v>
      </c>
      <c r="J278" s="326">
        <v>57116.67</v>
      </c>
      <c r="K278" s="326">
        <f>12143+12143.11</f>
        <v>24286.11</v>
      </c>
      <c r="L278" s="587">
        <f>30000+K278</f>
        <v>54286.11</v>
      </c>
      <c r="M278" s="344" t="s">
        <v>796</v>
      </c>
    </row>
    <row r="279" spans="1:13" s="129" customFormat="1" ht="39.6" x14ac:dyDescent="0.25">
      <c r="A279" s="583"/>
      <c r="B279" s="576" t="s">
        <v>776</v>
      </c>
      <c r="C279" s="307" t="s">
        <v>738</v>
      </c>
      <c r="D279" s="188" t="s">
        <v>15</v>
      </c>
      <c r="E279" s="187" t="s">
        <v>598</v>
      </c>
      <c r="F279" s="321" t="s">
        <v>739</v>
      </c>
      <c r="G279" s="345" t="s">
        <v>740</v>
      </c>
      <c r="H279" s="190" t="s">
        <v>225</v>
      </c>
      <c r="I279" s="308" t="s">
        <v>5</v>
      </c>
      <c r="J279" s="326">
        <v>418517.68</v>
      </c>
      <c r="K279" s="326">
        <v>0</v>
      </c>
      <c r="L279" s="587">
        <v>0</v>
      </c>
      <c r="M279" s="344" t="s">
        <v>797</v>
      </c>
    </row>
    <row r="280" spans="1:13" s="129" customFormat="1" ht="39.6" x14ac:dyDescent="0.25">
      <c r="A280" s="583"/>
      <c r="B280" s="576" t="s">
        <v>777</v>
      </c>
      <c r="C280" s="307" t="s">
        <v>741</v>
      </c>
      <c r="D280" s="188" t="s">
        <v>15</v>
      </c>
      <c r="E280" s="187" t="s">
        <v>221</v>
      </c>
      <c r="F280" s="323" t="s">
        <v>742</v>
      </c>
      <c r="G280" s="345" t="s">
        <v>712</v>
      </c>
      <c r="H280" s="190" t="s">
        <v>225</v>
      </c>
      <c r="I280" s="308" t="s">
        <v>5</v>
      </c>
      <c r="J280" s="326">
        <v>147101.94</v>
      </c>
      <c r="K280" s="326">
        <f>14940.48+21941.96</f>
        <v>36882.44</v>
      </c>
      <c r="L280" s="587">
        <f>109650.49+K280</f>
        <v>146532.93</v>
      </c>
      <c r="M280" s="344" t="s">
        <v>774</v>
      </c>
    </row>
    <row r="281" spans="1:13" s="129" customFormat="1" ht="39.6" x14ac:dyDescent="0.25">
      <c r="A281" s="583"/>
      <c r="B281" s="576" t="s">
        <v>778</v>
      </c>
      <c r="C281" s="307" t="s">
        <v>743</v>
      </c>
      <c r="D281" s="188" t="s">
        <v>15</v>
      </c>
      <c r="E281" s="187" t="s">
        <v>221</v>
      </c>
      <c r="F281" s="323" t="s">
        <v>744</v>
      </c>
      <c r="G281" s="345" t="s">
        <v>745</v>
      </c>
      <c r="H281" s="190" t="s">
        <v>225</v>
      </c>
      <c r="I281" s="308" t="s">
        <v>5</v>
      </c>
      <c r="J281" s="326">
        <v>35556.089999999997</v>
      </c>
      <c r="K281" s="326">
        <f>20900.88+8852.23</f>
        <v>29753.11</v>
      </c>
      <c r="L281" s="587">
        <f>14655.21+K281</f>
        <v>44408.32</v>
      </c>
      <c r="M281" s="344" t="s">
        <v>791</v>
      </c>
    </row>
    <row r="282" spans="1:13" s="129" customFormat="1" ht="39.6" x14ac:dyDescent="0.25">
      <c r="A282" s="583"/>
      <c r="B282" s="576" t="s">
        <v>779</v>
      </c>
      <c r="C282" s="307" t="s">
        <v>746</v>
      </c>
      <c r="D282" s="188" t="s">
        <v>15</v>
      </c>
      <c r="E282" s="187" t="s">
        <v>598</v>
      </c>
      <c r="F282" s="323" t="s">
        <v>747</v>
      </c>
      <c r="G282" s="187" t="s">
        <v>798</v>
      </c>
      <c r="H282" s="190" t="s">
        <v>225</v>
      </c>
      <c r="I282" s="308" t="s">
        <v>5</v>
      </c>
      <c r="J282" s="187" t="s">
        <v>798</v>
      </c>
      <c r="K282" s="187" t="s">
        <v>798</v>
      </c>
      <c r="L282" s="586" t="s">
        <v>798</v>
      </c>
      <c r="M282" s="343"/>
    </row>
    <row r="283" spans="1:13" s="129" customFormat="1" ht="39.6" x14ac:dyDescent="0.25">
      <c r="A283" s="583"/>
      <c r="B283" s="576" t="s">
        <v>780</v>
      </c>
      <c r="C283" s="307" t="s">
        <v>748</v>
      </c>
      <c r="D283" s="188" t="s">
        <v>15</v>
      </c>
      <c r="E283" s="187" t="s">
        <v>221</v>
      </c>
      <c r="F283" s="323" t="s">
        <v>749</v>
      </c>
      <c r="G283" s="345" t="s">
        <v>750</v>
      </c>
      <c r="H283" s="190" t="s">
        <v>225</v>
      </c>
      <c r="I283" s="308" t="s">
        <v>5</v>
      </c>
      <c r="J283" s="326">
        <v>63233.56</v>
      </c>
      <c r="K283" s="326">
        <f>13419.76+18279.77+10000+4670.51+12898.95+2155.09</f>
        <v>61424.08</v>
      </c>
      <c r="L283" s="587">
        <f>13831.45+18061.9+K283</f>
        <v>93317.430000000008</v>
      </c>
      <c r="M283" s="343"/>
    </row>
    <row r="284" spans="1:13" s="129" customFormat="1" ht="39.6" x14ac:dyDescent="0.25">
      <c r="A284" s="583"/>
      <c r="B284" s="576" t="s">
        <v>781</v>
      </c>
      <c r="C284" s="307" t="s">
        <v>751</v>
      </c>
      <c r="D284" s="188" t="s">
        <v>15</v>
      </c>
      <c r="E284" s="187" t="s">
        <v>221</v>
      </c>
      <c r="F284" s="321" t="s">
        <v>752</v>
      </c>
      <c r="G284" s="345" t="s">
        <v>753</v>
      </c>
      <c r="H284" s="190" t="s">
        <v>225</v>
      </c>
      <c r="I284" s="308" t="s">
        <v>5</v>
      </c>
      <c r="J284" s="326">
        <v>13994.75</v>
      </c>
      <c r="K284" s="326">
        <f>13569.75</f>
        <v>13569.75</v>
      </c>
      <c r="L284" s="587">
        <f>13569.75</f>
        <v>13569.75</v>
      </c>
      <c r="M284" s="344" t="s">
        <v>334</v>
      </c>
    </row>
    <row r="285" spans="1:13" s="129" customFormat="1" ht="39.6" x14ac:dyDescent="0.25">
      <c r="A285" s="583"/>
      <c r="B285" s="576" t="s">
        <v>782</v>
      </c>
      <c r="C285" s="307" t="s">
        <v>754</v>
      </c>
      <c r="D285" s="188" t="s">
        <v>15</v>
      </c>
      <c r="E285" s="187" t="s">
        <v>801</v>
      </c>
      <c r="F285" s="321" t="s">
        <v>755</v>
      </c>
      <c r="G285" s="345" t="s">
        <v>756</v>
      </c>
      <c r="H285" s="190" t="s">
        <v>225</v>
      </c>
      <c r="I285" s="308" t="s">
        <v>5</v>
      </c>
      <c r="J285" s="187" t="s">
        <v>801</v>
      </c>
      <c r="K285" s="187" t="s">
        <v>801</v>
      </c>
      <c r="L285" s="586" t="s">
        <v>801</v>
      </c>
      <c r="M285" s="343"/>
    </row>
    <row r="286" spans="1:13" s="129" customFormat="1" ht="26.4" x14ac:dyDescent="0.25">
      <c r="A286" s="583"/>
      <c r="B286" s="576" t="s">
        <v>783</v>
      </c>
      <c r="C286" s="307" t="s">
        <v>757</v>
      </c>
      <c r="D286" s="188" t="s">
        <v>15</v>
      </c>
      <c r="E286" s="187" t="s">
        <v>221</v>
      </c>
      <c r="F286" s="321" t="s">
        <v>758</v>
      </c>
      <c r="G286" s="345" t="s">
        <v>759</v>
      </c>
      <c r="H286" s="190" t="s">
        <v>225</v>
      </c>
      <c r="I286" s="308" t="s">
        <v>5</v>
      </c>
      <c r="J286" s="326">
        <v>14263.92</v>
      </c>
      <c r="K286" s="326">
        <f>14263.92</f>
        <v>14263.92</v>
      </c>
      <c r="L286" s="587">
        <f>K286</f>
        <v>14263.92</v>
      </c>
      <c r="M286" s="344" t="s">
        <v>774</v>
      </c>
    </row>
    <row r="287" spans="1:13" s="129" customFormat="1" ht="35.25" customHeight="1" x14ac:dyDescent="0.25">
      <c r="A287" s="583"/>
      <c r="B287" s="576" t="s">
        <v>784</v>
      </c>
      <c r="C287" s="307" t="s">
        <v>760</v>
      </c>
      <c r="D287" s="188" t="s">
        <v>15</v>
      </c>
      <c r="E287" s="187" t="s">
        <v>221</v>
      </c>
      <c r="F287" s="321" t="s">
        <v>761</v>
      </c>
      <c r="G287" s="345" t="s">
        <v>762</v>
      </c>
      <c r="H287" s="190" t="s">
        <v>225</v>
      </c>
      <c r="I287" s="308" t="s">
        <v>5</v>
      </c>
      <c r="J287" s="326">
        <v>14377.71</v>
      </c>
      <c r="K287" s="326">
        <f>10576.71</f>
        <v>10576.71</v>
      </c>
      <c r="L287" s="587">
        <f>3936.52+K287</f>
        <v>14513.23</v>
      </c>
      <c r="M287" s="344" t="s">
        <v>774</v>
      </c>
    </row>
    <row r="288" spans="1:13" s="129" customFormat="1" ht="39.6" x14ac:dyDescent="0.25">
      <c r="A288" s="583"/>
      <c r="B288" s="576" t="s">
        <v>785</v>
      </c>
      <c r="C288" s="307" t="s">
        <v>802</v>
      </c>
      <c r="D288" s="188" t="s">
        <v>15</v>
      </c>
      <c r="E288" s="187" t="s">
        <v>799</v>
      </c>
      <c r="F288" s="323" t="s">
        <v>763</v>
      </c>
      <c r="G288" s="345" t="s">
        <v>750</v>
      </c>
      <c r="H288" s="190" t="s">
        <v>225</v>
      </c>
      <c r="I288" s="308" t="s">
        <v>5</v>
      </c>
      <c r="J288" s="187" t="s">
        <v>799</v>
      </c>
      <c r="K288" s="187" t="s">
        <v>799</v>
      </c>
      <c r="L288" s="586" t="s">
        <v>799</v>
      </c>
      <c r="M288" s="343"/>
    </row>
    <row r="289" spans="1:13" s="129" customFormat="1" ht="40.799999999999997" x14ac:dyDescent="0.25">
      <c r="A289" s="583"/>
      <c r="B289" s="576" t="s">
        <v>786</v>
      </c>
      <c r="C289" s="307" t="s">
        <v>764</v>
      </c>
      <c r="D289" s="188" t="s">
        <v>15</v>
      </c>
      <c r="E289" s="187" t="s">
        <v>4</v>
      </c>
      <c r="F289" s="321" t="s">
        <v>765</v>
      </c>
      <c r="G289" s="187" t="s">
        <v>671</v>
      </c>
      <c r="H289" s="190" t="s">
        <v>225</v>
      </c>
      <c r="I289" s="308" t="s">
        <v>5</v>
      </c>
      <c r="J289" s="326">
        <v>131363.99</v>
      </c>
      <c r="K289" s="326">
        <f>8482.58</f>
        <v>8482.58</v>
      </c>
      <c r="L289" s="587">
        <f>K289</f>
        <v>8482.58</v>
      </c>
      <c r="M289" s="344" t="s">
        <v>791</v>
      </c>
    </row>
    <row r="290" spans="1:13" s="129" customFormat="1" ht="35.25" customHeight="1" x14ac:dyDescent="0.25">
      <c r="A290" s="583"/>
      <c r="B290" s="576" t="s">
        <v>787</v>
      </c>
      <c r="C290" s="307" t="s">
        <v>766</v>
      </c>
      <c r="D290" s="188" t="s">
        <v>15</v>
      </c>
      <c r="E290" s="187" t="s">
        <v>221</v>
      </c>
      <c r="F290" s="321" t="s">
        <v>767</v>
      </c>
      <c r="G290" s="345" t="s">
        <v>768</v>
      </c>
      <c r="H290" s="190" t="s">
        <v>225</v>
      </c>
      <c r="I290" s="308" t="s">
        <v>5</v>
      </c>
      <c r="J290" s="326">
        <v>13779.08</v>
      </c>
      <c r="K290" s="326">
        <f>13583.18</f>
        <v>13583.18</v>
      </c>
      <c r="L290" s="587">
        <f>K290</f>
        <v>13583.18</v>
      </c>
      <c r="M290" s="344" t="s">
        <v>791</v>
      </c>
    </row>
    <row r="291" spans="1:13" s="129" customFormat="1" ht="39.6" x14ac:dyDescent="0.25">
      <c r="A291" s="583"/>
      <c r="B291" s="576" t="s">
        <v>788</v>
      </c>
      <c r="C291" s="307" t="s">
        <v>769</v>
      </c>
      <c r="D291" s="188" t="s">
        <v>15</v>
      </c>
      <c r="E291" s="187" t="s">
        <v>221</v>
      </c>
      <c r="F291" s="496" t="s">
        <v>770</v>
      </c>
      <c r="G291" s="345" t="s">
        <v>771</v>
      </c>
      <c r="H291" s="190" t="s">
        <v>225</v>
      </c>
      <c r="I291" s="308" t="s">
        <v>5</v>
      </c>
      <c r="J291" s="326">
        <v>13994.8</v>
      </c>
      <c r="K291" s="326">
        <f>12229.83</f>
        <v>12229.83</v>
      </c>
      <c r="L291" s="587">
        <f>K291</f>
        <v>12229.83</v>
      </c>
      <c r="M291" s="344" t="s">
        <v>791</v>
      </c>
    </row>
    <row r="292" spans="1:13" s="348" customFormat="1" ht="24.6" x14ac:dyDescent="0.25">
      <c r="A292" s="582"/>
      <c r="B292" s="573"/>
      <c r="C292" s="939" t="s">
        <v>812</v>
      </c>
      <c r="D292" s="939"/>
      <c r="E292" s="939"/>
      <c r="F292" s="939"/>
      <c r="G292" s="939"/>
      <c r="H292" s="939"/>
      <c r="I292" s="939"/>
      <c r="J292" s="939"/>
      <c r="K292" s="939"/>
      <c r="L292" s="940"/>
    </row>
    <row r="293" spans="1:13" s="129" customFormat="1" ht="39.6" x14ac:dyDescent="0.25">
      <c r="A293" s="583"/>
      <c r="B293" s="576" t="s">
        <v>813</v>
      </c>
      <c r="C293" s="307" t="s">
        <v>826</v>
      </c>
      <c r="D293" s="188" t="s">
        <v>15</v>
      </c>
      <c r="E293" s="488" t="s">
        <v>711</v>
      </c>
      <c r="F293" s="321" t="s">
        <v>827</v>
      </c>
      <c r="G293" s="488" t="s">
        <v>711</v>
      </c>
      <c r="H293" s="190" t="s">
        <v>225</v>
      </c>
      <c r="I293" s="308">
        <v>33903900</v>
      </c>
      <c r="J293" s="323" t="s">
        <v>711</v>
      </c>
      <c r="K293" s="323" t="s">
        <v>711</v>
      </c>
      <c r="L293" s="591" t="s">
        <v>711</v>
      </c>
      <c r="M293" s="344" t="s">
        <v>343</v>
      </c>
    </row>
    <row r="294" spans="1:13" s="129" customFormat="1" ht="52.8" x14ac:dyDescent="0.25">
      <c r="A294" s="583"/>
      <c r="B294" s="576" t="s">
        <v>814</v>
      </c>
      <c r="C294" s="307" t="s">
        <v>828</v>
      </c>
      <c r="D294" s="188" t="s">
        <v>15</v>
      </c>
      <c r="E294" s="488" t="s">
        <v>436</v>
      </c>
      <c r="F294" s="323" t="s">
        <v>763</v>
      </c>
      <c r="G294" s="488" t="s">
        <v>436</v>
      </c>
      <c r="H294" s="190" t="s">
        <v>225</v>
      </c>
      <c r="I294" s="308" t="s">
        <v>5</v>
      </c>
      <c r="J294" s="323" t="s">
        <v>436</v>
      </c>
      <c r="K294" s="323" t="s">
        <v>436</v>
      </c>
      <c r="L294" s="591" t="s">
        <v>436</v>
      </c>
    </row>
    <row r="295" spans="1:13" s="129" customFormat="1" ht="39.6" x14ac:dyDescent="0.25">
      <c r="A295" s="583"/>
      <c r="B295" s="576" t="s">
        <v>815</v>
      </c>
      <c r="C295" s="307" t="s">
        <v>625</v>
      </c>
      <c r="D295" s="188" t="s">
        <v>15</v>
      </c>
      <c r="E295" s="187" t="s">
        <v>801</v>
      </c>
      <c r="F295" s="323" t="s">
        <v>829</v>
      </c>
      <c r="G295" s="345" t="s">
        <v>756</v>
      </c>
      <c r="H295" s="190" t="s">
        <v>225</v>
      </c>
      <c r="I295" s="308" t="s">
        <v>5</v>
      </c>
      <c r="J295" s="187" t="s">
        <v>801</v>
      </c>
      <c r="K295" s="187" t="s">
        <v>801</v>
      </c>
      <c r="L295" s="586" t="s">
        <v>801</v>
      </c>
    </row>
    <row r="296" spans="1:13" s="129" customFormat="1" ht="39.6" x14ac:dyDescent="0.25">
      <c r="A296" s="583"/>
      <c r="B296" s="577" t="s">
        <v>816</v>
      </c>
      <c r="C296" s="307" t="s">
        <v>828</v>
      </c>
      <c r="D296" s="188" t="s">
        <v>15</v>
      </c>
      <c r="E296" s="187" t="s">
        <v>221</v>
      </c>
      <c r="F296" s="323" t="s">
        <v>831</v>
      </c>
      <c r="G296" s="345" t="s">
        <v>776</v>
      </c>
      <c r="H296" s="190" t="s">
        <v>225</v>
      </c>
      <c r="I296" s="308" t="s">
        <v>5</v>
      </c>
      <c r="J296" s="326">
        <v>27442.11</v>
      </c>
      <c r="K296" s="326">
        <f>13051.11+14391+7790.33</f>
        <v>35232.44</v>
      </c>
      <c r="L296" s="587">
        <f>K296</f>
        <v>35232.44</v>
      </c>
      <c r="M296" s="497" t="s">
        <v>830</v>
      </c>
    </row>
    <row r="297" spans="1:13" s="129" customFormat="1" ht="39.6" x14ac:dyDescent="0.25">
      <c r="A297" s="583"/>
      <c r="B297" s="576" t="s">
        <v>817</v>
      </c>
      <c r="C297" s="307" t="s">
        <v>832</v>
      </c>
      <c r="D297" s="188" t="s">
        <v>15</v>
      </c>
      <c r="E297" s="187" t="s">
        <v>4</v>
      </c>
      <c r="F297" s="323" t="s">
        <v>833</v>
      </c>
      <c r="G297" s="345" t="s">
        <v>777</v>
      </c>
      <c r="H297" s="190" t="s">
        <v>225</v>
      </c>
      <c r="I297" s="308" t="s">
        <v>5</v>
      </c>
      <c r="J297" s="326">
        <v>46832.160000000003</v>
      </c>
      <c r="K297" s="326">
        <v>0</v>
      </c>
      <c r="L297" s="587">
        <v>0</v>
      </c>
      <c r="M297" s="185" t="s">
        <v>343</v>
      </c>
    </row>
    <row r="298" spans="1:13" s="129" customFormat="1" ht="39.6" x14ac:dyDescent="0.25">
      <c r="A298" s="583"/>
      <c r="B298" s="576" t="s">
        <v>818</v>
      </c>
      <c r="C298" s="307" t="s">
        <v>834</v>
      </c>
      <c r="D298" s="188" t="s">
        <v>15</v>
      </c>
      <c r="E298" s="187" t="s">
        <v>4</v>
      </c>
      <c r="F298" s="323" t="s">
        <v>835</v>
      </c>
      <c r="G298" s="345" t="s">
        <v>778</v>
      </c>
      <c r="H298" s="190" t="s">
        <v>225</v>
      </c>
      <c r="I298" s="308" t="s">
        <v>5</v>
      </c>
      <c r="J298" s="326">
        <v>24396.49</v>
      </c>
      <c r="K298" s="326">
        <v>0</v>
      </c>
      <c r="L298" s="587">
        <v>0</v>
      </c>
      <c r="M298" s="497" t="s">
        <v>830</v>
      </c>
    </row>
    <row r="299" spans="1:13" s="129" customFormat="1" ht="39.6" x14ac:dyDescent="0.25">
      <c r="A299" s="583"/>
      <c r="B299" s="576" t="s">
        <v>819</v>
      </c>
      <c r="C299" s="307" t="s">
        <v>836</v>
      </c>
      <c r="D299" s="188" t="s">
        <v>15</v>
      </c>
      <c r="E299" s="187" t="s">
        <v>4</v>
      </c>
      <c r="F299" s="323" t="s">
        <v>837</v>
      </c>
      <c r="G299" s="345" t="s">
        <v>779</v>
      </c>
      <c r="H299" s="190" t="s">
        <v>225</v>
      </c>
      <c r="I299" s="308" t="s">
        <v>5</v>
      </c>
      <c r="J299" s="326">
        <v>24396.49</v>
      </c>
      <c r="K299" s="326">
        <v>0</v>
      </c>
      <c r="L299" s="587">
        <v>0</v>
      </c>
      <c r="M299" s="497" t="s">
        <v>830</v>
      </c>
    </row>
    <row r="300" spans="1:13" s="129" customFormat="1" ht="39.6" x14ac:dyDescent="0.25">
      <c r="A300" s="583"/>
      <c r="B300" s="576" t="s">
        <v>820</v>
      </c>
      <c r="C300" s="307" t="s">
        <v>734</v>
      </c>
      <c r="D300" s="188" t="s">
        <v>15</v>
      </c>
      <c r="E300" s="488" t="s">
        <v>839</v>
      </c>
      <c r="F300" s="345" t="s">
        <v>838</v>
      </c>
      <c r="G300" s="488" t="s">
        <v>839</v>
      </c>
      <c r="H300" s="190" t="s">
        <v>225</v>
      </c>
      <c r="I300" s="308" t="s">
        <v>5</v>
      </c>
      <c r="J300" s="488" t="s">
        <v>839</v>
      </c>
      <c r="K300" s="488" t="s">
        <v>839</v>
      </c>
      <c r="L300" s="592" t="s">
        <v>839</v>
      </c>
    </row>
    <row r="301" spans="1:13" s="129" customFormat="1" ht="39.6" x14ac:dyDescent="0.25">
      <c r="A301" s="583"/>
      <c r="B301" s="576" t="s">
        <v>821</v>
      </c>
      <c r="C301" s="307" t="s">
        <v>840</v>
      </c>
      <c r="D301" s="188" t="s">
        <v>15</v>
      </c>
      <c r="E301" s="187" t="s">
        <v>4</v>
      </c>
      <c r="F301" s="323" t="s">
        <v>841</v>
      </c>
      <c r="G301" s="345" t="s">
        <v>780</v>
      </c>
      <c r="H301" s="190" t="s">
        <v>225</v>
      </c>
      <c r="I301" s="308" t="s">
        <v>5</v>
      </c>
      <c r="J301" s="326">
        <v>64846.75</v>
      </c>
      <c r="K301" s="326">
        <v>0</v>
      </c>
      <c r="L301" s="587">
        <v>0</v>
      </c>
      <c r="M301" s="497" t="s">
        <v>774</v>
      </c>
    </row>
    <row r="302" spans="1:13" s="129" customFormat="1" ht="66" x14ac:dyDescent="0.25">
      <c r="A302" s="583"/>
      <c r="B302" s="576" t="s">
        <v>822</v>
      </c>
      <c r="C302" s="307" t="s">
        <v>842</v>
      </c>
      <c r="D302" s="188" t="s">
        <v>15</v>
      </c>
      <c r="E302" s="187" t="s">
        <v>843</v>
      </c>
      <c r="F302" s="323" t="s">
        <v>858</v>
      </c>
      <c r="G302" s="187" t="s">
        <v>843</v>
      </c>
      <c r="H302" s="190" t="s">
        <v>225</v>
      </c>
      <c r="I302" s="308" t="s">
        <v>5</v>
      </c>
      <c r="J302" s="187" t="s">
        <v>843</v>
      </c>
      <c r="K302" s="187" t="s">
        <v>843</v>
      </c>
      <c r="L302" s="586" t="s">
        <v>843</v>
      </c>
    </row>
    <row r="303" spans="1:13" s="129" customFormat="1" ht="66" x14ac:dyDescent="0.25">
      <c r="A303" s="583"/>
      <c r="B303" s="576" t="s">
        <v>823</v>
      </c>
      <c r="C303" s="307" t="s">
        <v>844</v>
      </c>
      <c r="D303" s="188" t="s">
        <v>15</v>
      </c>
      <c r="E303" s="187" t="s">
        <v>671</v>
      </c>
      <c r="F303" s="323" t="s">
        <v>859</v>
      </c>
      <c r="G303" s="187" t="s">
        <v>671</v>
      </c>
      <c r="H303" s="190" t="s">
        <v>225</v>
      </c>
      <c r="I303" s="308" t="s">
        <v>5</v>
      </c>
      <c r="J303" s="187" t="s">
        <v>671</v>
      </c>
      <c r="K303" s="187" t="s">
        <v>671</v>
      </c>
      <c r="L303" s="586" t="s">
        <v>671</v>
      </c>
    </row>
    <row r="304" spans="1:13" s="129" customFormat="1" ht="39.6" x14ac:dyDescent="0.25">
      <c r="A304" s="583"/>
      <c r="B304" s="576" t="s">
        <v>824</v>
      </c>
      <c r="C304" s="307" t="s">
        <v>845</v>
      </c>
      <c r="D304" s="188" t="s">
        <v>15</v>
      </c>
      <c r="E304" s="187" t="s">
        <v>221</v>
      </c>
      <c r="F304" s="323" t="s">
        <v>847</v>
      </c>
      <c r="G304" s="187" t="s">
        <v>781</v>
      </c>
      <c r="H304" s="190" t="s">
        <v>225</v>
      </c>
      <c r="I304" s="308" t="s">
        <v>5</v>
      </c>
      <c r="J304" s="326">
        <v>13483.44</v>
      </c>
      <c r="K304" s="326">
        <f>13483.44</f>
        <v>13483.44</v>
      </c>
      <c r="L304" s="587">
        <v>13483.44</v>
      </c>
    </row>
    <row r="305" spans="1:12" s="129" customFormat="1" ht="26.4" x14ac:dyDescent="0.25">
      <c r="A305" s="583"/>
      <c r="B305" s="576" t="s">
        <v>825</v>
      </c>
      <c r="C305" s="307" t="s">
        <v>848</v>
      </c>
      <c r="D305" s="188" t="s">
        <v>15</v>
      </c>
      <c r="E305" s="187" t="s">
        <v>843</v>
      </c>
      <c r="F305" s="323" t="s">
        <v>846</v>
      </c>
      <c r="G305" s="187" t="s">
        <v>843</v>
      </c>
      <c r="H305" s="190" t="s">
        <v>225</v>
      </c>
      <c r="I305" s="308" t="s">
        <v>5</v>
      </c>
      <c r="J305" s="187" t="s">
        <v>843</v>
      </c>
      <c r="K305" s="187" t="s">
        <v>843</v>
      </c>
      <c r="L305" s="586" t="s">
        <v>843</v>
      </c>
    </row>
    <row r="306" spans="1:12" s="129" customFormat="1" ht="39.6" x14ac:dyDescent="0.25">
      <c r="A306" s="583"/>
      <c r="B306" s="578" t="s">
        <v>849</v>
      </c>
      <c r="C306" s="307" t="s">
        <v>853</v>
      </c>
      <c r="D306" s="188" t="s">
        <v>15</v>
      </c>
      <c r="E306" s="187" t="s">
        <v>801</v>
      </c>
      <c r="F306" s="323" t="s">
        <v>846</v>
      </c>
      <c r="G306" s="187" t="s">
        <v>801</v>
      </c>
      <c r="H306" s="190" t="s">
        <v>225</v>
      </c>
      <c r="I306" s="308" t="s">
        <v>5</v>
      </c>
      <c r="J306" s="187" t="s">
        <v>801</v>
      </c>
      <c r="K306" s="187" t="s">
        <v>801</v>
      </c>
      <c r="L306" s="586" t="s">
        <v>801</v>
      </c>
    </row>
    <row r="307" spans="1:12" s="129" customFormat="1" ht="40.799999999999997" x14ac:dyDescent="0.25">
      <c r="A307" s="583"/>
      <c r="B307" s="578" t="s">
        <v>850</v>
      </c>
      <c r="C307" s="307" t="s">
        <v>754</v>
      </c>
      <c r="D307" s="188" t="s">
        <v>15</v>
      </c>
      <c r="E307" s="187" t="s">
        <v>671</v>
      </c>
      <c r="F307" s="323" t="s">
        <v>854</v>
      </c>
      <c r="G307" s="187" t="s">
        <v>671</v>
      </c>
      <c r="H307" s="190" t="s">
        <v>225</v>
      </c>
      <c r="I307" s="308" t="s">
        <v>5</v>
      </c>
      <c r="J307" s="187" t="s">
        <v>671</v>
      </c>
      <c r="K307" s="187" t="s">
        <v>671</v>
      </c>
      <c r="L307" s="586" t="s">
        <v>671</v>
      </c>
    </row>
    <row r="308" spans="1:12" s="129" customFormat="1" ht="39.6" x14ac:dyDescent="0.25">
      <c r="A308" s="583"/>
      <c r="B308" s="578" t="s">
        <v>851</v>
      </c>
      <c r="C308" s="307" t="s">
        <v>855</v>
      </c>
      <c r="D308" s="188" t="s">
        <v>15</v>
      </c>
      <c r="E308" s="187" t="s">
        <v>793</v>
      </c>
      <c r="F308" s="323" t="s">
        <v>857</v>
      </c>
      <c r="G308" s="187" t="s">
        <v>856</v>
      </c>
      <c r="H308" s="190" t="s">
        <v>225</v>
      </c>
      <c r="I308" s="308" t="s">
        <v>5</v>
      </c>
      <c r="J308" s="187" t="s">
        <v>793</v>
      </c>
      <c r="K308" s="187" t="s">
        <v>793</v>
      </c>
      <c r="L308" s="586" t="s">
        <v>793</v>
      </c>
    </row>
    <row r="309" spans="1:12" s="129" customFormat="1" ht="41.4" thickBot="1" x14ac:dyDescent="0.3">
      <c r="A309" s="593"/>
      <c r="B309" s="594" t="s">
        <v>852</v>
      </c>
      <c r="C309" s="595" t="s">
        <v>855</v>
      </c>
      <c r="D309" s="596" t="s">
        <v>15</v>
      </c>
      <c r="E309" s="597" t="s">
        <v>671</v>
      </c>
      <c r="F309" s="598" t="s">
        <v>857</v>
      </c>
      <c r="G309" s="597" t="s">
        <v>671</v>
      </c>
      <c r="H309" s="599" t="s">
        <v>225</v>
      </c>
      <c r="I309" s="600" t="s">
        <v>5</v>
      </c>
      <c r="J309" s="597" t="s">
        <v>671</v>
      </c>
      <c r="K309" s="597" t="s">
        <v>671</v>
      </c>
      <c r="L309" s="601" t="s">
        <v>671</v>
      </c>
    </row>
    <row r="320" spans="1:12" x14ac:dyDescent="0.25">
      <c r="C320" s="3" t="s">
        <v>860</v>
      </c>
    </row>
  </sheetData>
  <mergeCells count="62">
    <mergeCell ref="A175:L175"/>
    <mergeCell ref="F59:I59"/>
    <mergeCell ref="F111:I111"/>
    <mergeCell ref="B115:Q115"/>
    <mergeCell ref="B117:Q117"/>
    <mergeCell ref="B119:Q119"/>
    <mergeCell ref="B124:Q124"/>
    <mergeCell ref="D150:D152"/>
    <mergeCell ref="C150:C152"/>
    <mergeCell ref="I149:L149"/>
    <mergeCell ref="C292:L292"/>
    <mergeCell ref="C226:L226"/>
    <mergeCell ref="C227:L227"/>
    <mergeCell ref="C243:L243"/>
    <mergeCell ref="C267:L267"/>
    <mergeCell ref="A10:D10"/>
    <mergeCell ref="F10:J10"/>
    <mergeCell ref="A11:J11"/>
    <mergeCell ref="A12:A15"/>
    <mergeCell ref="B12:E12"/>
    <mergeCell ref="F12:F15"/>
    <mergeCell ref="G12:G15"/>
    <mergeCell ref="H12:H15"/>
    <mergeCell ref="I12:L12"/>
    <mergeCell ref="B13:B15"/>
    <mergeCell ref="C13:C15"/>
    <mergeCell ref="D13:D15"/>
    <mergeCell ref="E13:E15"/>
    <mergeCell ref="J13:J15"/>
    <mergeCell ref="K13:K15"/>
    <mergeCell ref="L13:L15"/>
    <mergeCell ref="A1:J1"/>
    <mergeCell ref="A2:J2"/>
    <mergeCell ref="A3:J3"/>
    <mergeCell ref="A4:J4"/>
    <mergeCell ref="A7:D7"/>
    <mergeCell ref="A211:L211"/>
    <mergeCell ref="A182:L182"/>
    <mergeCell ref="A197:L197"/>
    <mergeCell ref="F136:I136"/>
    <mergeCell ref="E150:E152"/>
    <mergeCell ref="I150:I152"/>
    <mergeCell ref="J150:J152"/>
    <mergeCell ref="K150:K152"/>
    <mergeCell ref="L150:L152"/>
    <mergeCell ref="A148:J148"/>
    <mergeCell ref="A149:A152"/>
    <mergeCell ref="B149:E149"/>
    <mergeCell ref="B150:B152"/>
    <mergeCell ref="F149:F152"/>
    <mergeCell ref="G149:G152"/>
    <mergeCell ref="H149:H152"/>
    <mergeCell ref="I13:I15"/>
    <mergeCell ref="F147:J147"/>
    <mergeCell ref="A147:D147"/>
    <mergeCell ref="A138:J138"/>
    <mergeCell ref="A139:J139"/>
    <mergeCell ref="A140:J140"/>
    <mergeCell ref="A141:J141"/>
    <mergeCell ref="A144:D144"/>
    <mergeCell ref="F19:I19"/>
    <mergeCell ref="F137:I137"/>
  </mergeCells>
  <printOptions horizontalCentered="1"/>
  <pageMargins left="0" right="0" top="0.19685039370078741" bottom="0.19685039370078741" header="0.51181102362204722" footer="0.51181102362204722"/>
  <pageSetup paperSize="9" scale="7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0"/>
  <sheetViews>
    <sheetView workbookViewId="0">
      <selection activeCell="H13" sqref="H13"/>
    </sheetView>
  </sheetViews>
  <sheetFormatPr defaultColWidth="9.109375" defaultRowHeight="13.2" x14ac:dyDescent="0.25"/>
  <cols>
    <col min="1" max="1" width="7" style="603" customWidth="1"/>
    <col min="2" max="2" width="9.6640625" style="500" customWidth="1"/>
    <col min="3" max="3" width="4.44140625" style="603" customWidth="1"/>
    <col min="4" max="4" width="50.6640625" style="129" customWidth="1"/>
    <col min="5" max="5" width="15" style="629" customWidth="1"/>
    <col min="6" max="6" width="9.109375" style="500"/>
    <col min="7" max="7" width="10.5546875" style="129" customWidth="1"/>
    <col min="8" max="8" width="28.5546875" style="501" customWidth="1"/>
    <col min="9" max="9" width="25.5546875" style="501" customWidth="1"/>
    <col min="10" max="10" width="18.109375" style="129" customWidth="1"/>
    <col min="11" max="11" width="14.88671875" style="129" customWidth="1"/>
    <col min="12" max="12" width="10.109375" style="129" customWidth="1"/>
    <col min="13" max="13" width="11.88671875" style="129" customWidth="1"/>
    <col min="14" max="14" width="7.6640625" style="129" customWidth="1"/>
    <col min="15" max="15" width="8.44140625" style="129" customWidth="1"/>
    <col min="16" max="16" width="11.5546875" style="129" customWidth="1"/>
    <col min="17" max="17" width="10.109375" style="502" customWidth="1"/>
    <col min="18" max="18" width="7.44140625" style="499" customWidth="1"/>
    <col min="19" max="19" width="9.109375" style="499"/>
    <col min="20" max="16384" width="9.109375" style="129"/>
  </cols>
  <sheetData>
    <row r="1" spans="1:19" ht="21" x14ac:dyDescent="0.4">
      <c r="A1" s="956" t="s">
        <v>20</v>
      </c>
      <c r="B1" s="956"/>
      <c r="C1" s="956"/>
      <c r="D1" s="956"/>
      <c r="E1" s="956"/>
      <c r="F1" s="956"/>
      <c r="G1" s="956"/>
      <c r="H1" s="956"/>
      <c r="I1" s="956"/>
      <c r="J1" s="956"/>
      <c r="K1" s="956"/>
      <c r="L1" s="956"/>
      <c r="M1" s="956"/>
      <c r="N1" s="956"/>
      <c r="O1" s="956"/>
      <c r="P1" s="956"/>
      <c r="Q1" s="956"/>
    </row>
    <row r="2" spans="1:19" ht="15.6" x14ac:dyDescent="0.3">
      <c r="A2" s="957" t="s">
        <v>862</v>
      </c>
      <c r="B2" s="957"/>
      <c r="C2" s="957"/>
      <c r="D2" s="957"/>
      <c r="E2" s="957"/>
      <c r="F2" s="957"/>
      <c r="G2" s="957"/>
      <c r="H2" s="957"/>
      <c r="I2" s="957"/>
      <c r="J2" s="957"/>
      <c r="K2" s="957"/>
      <c r="L2" s="957"/>
      <c r="M2" s="957"/>
      <c r="N2" s="957"/>
      <c r="O2" s="957"/>
      <c r="P2" s="957"/>
      <c r="Q2" s="957"/>
    </row>
    <row r="4" spans="1:19" ht="17.399999999999999" x14ac:dyDescent="0.3">
      <c r="A4" s="958" t="s">
        <v>863</v>
      </c>
      <c r="B4" s="958"/>
      <c r="C4" s="958"/>
      <c r="D4" s="958"/>
      <c r="E4" s="958"/>
      <c r="F4" s="958"/>
      <c r="G4" s="958"/>
      <c r="H4" s="958"/>
      <c r="I4" s="958"/>
      <c r="J4" s="958"/>
      <c r="K4" s="958"/>
      <c r="L4" s="958"/>
      <c r="M4" s="958"/>
      <c r="N4" s="958"/>
      <c r="O4" s="958"/>
      <c r="P4" s="958"/>
      <c r="Q4" s="958"/>
    </row>
    <row r="5" spans="1:19" x14ac:dyDescent="0.25">
      <c r="B5" s="503"/>
      <c r="D5" s="185"/>
      <c r="E5" s="623"/>
      <c r="F5" s="503"/>
      <c r="G5" s="185"/>
      <c r="H5" s="504"/>
      <c r="I5" s="504"/>
      <c r="J5" s="185"/>
      <c r="K5" s="185"/>
      <c r="L5" s="185"/>
      <c r="M5" s="185"/>
      <c r="N5" s="185"/>
      <c r="O5" s="185"/>
      <c r="P5" s="185"/>
      <c r="Q5" s="505"/>
    </row>
    <row r="6" spans="1:19" x14ac:dyDescent="0.25">
      <c r="A6" s="959" t="s">
        <v>864</v>
      </c>
      <c r="B6" s="959"/>
      <c r="C6" s="959"/>
      <c r="D6" s="959"/>
      <c r="E6" s="624"/>
      <c r="F6" s="506"/>
      <c r="G6" s="507"/>
      <c r="H6" s="508"/>
      <c r="I6" s="508"/>
      <c r="J6" s="507"/>
      <c r="K6" s="960"/>
      <c r="L6" s="960"/>
      <c r="M6" s="960"/>
      <c r="N6" s="507"/>
      <c r="O6" s="507"/>
      <c r="P6" s="507"/>
      <c r="Q6" s="509"/>
    </row>
    <row r="7" spans="1:19" x14ac:dyDescent="0.25">
      <c r="A7" s="603" t="s">
        <v>865</v>
      </c>
      <c r="B7" s="510"/>
      <c r="D7" s="510"/>
      <c r="E7" s="623"/>
      <c r="F7" s="503"/>
      <c r="G7" s="185"/>
      <c r="H7" s="504"/>
      <c r="I7" s="504"/>
      <c r="J7" s="959" t="s">
        <v>866</v>
      </c>
      <c r="K7" s="959"/>
      <c r="L7" s="959"/>
      <c r="M7" s="959"/>
      <c r="N7" s="185"/>
      <c r="O7" s="185"/>
      <c r="P7" s="185"/>
      <c r="Q7" s="505"/>
    </row>
    <row r="8" spans="1:19" x14ac:dyDescent="0.25">
      <c r="B8" s="510"/>
      <c r="D8" s="510"/>
      <c r="E8" s="623"/>
      <c r="F8" s="503"/>
      <c r="G8" s="185"/>
      <c r="H8" s="504"/>
      <c r="I8" s="504"/>
      <c r="J8" s="511"/>
      <c r="K8" s="511"/>
      <c r="L8" s="511"/>
      <c r="M8" s="511"/>
      <c r="N8" s="185"/>
      <c r="O8" s="185"/>
      <c r="P8" s="185"/>
      <c r="Q8" s="505"/>
    </row>
    <row r="9" spans="1:19" ht="21" x14ac:dyDescent="0.25">
      <c r="A9" s="604"/>
      <c r="B9" s="513"/>
      <c r="C9" s="611"/>
      <c r="D9" s="961" t="s">
        <v>364</v>
      </c>
      <c r="E9" s="962"/>
      <c r="F9" s="962"/>
      <c r="G9" s="962"/>
      <c r="H9" s="962"/>
      <c r="I9" s="962"/>
      <c r="J9" s="962"/>
      <c r="K9" s="962"/>
      <c r="L9" s="962"/>
      <c r="M9" s="962"/>
      <c r="N9" s="963"/>
      <c r="O9" s="514"/>
      <c r="P9" s="512"/>
      <c r="Q9" s="512"/>
      <c r="S9" s="515"/>
    </row>
    <row r="10" spans="1:19" ht="16.8" x14ac:dyDescent="0.25">
      <c r="A10" s="605" t="s">
        <v>867</v>
      </c>
      <c r="B10" s="516" t="s">
        <v>868</v>
      </c>
      <c r="C10" s="964" t="s">
        <v>869</v>
      </c>
      <c r="D10" s="967" t="s">
        <v>870</v>
      </c>
      <c r="E10" s="967" t="s">
        <v>871</v>
      </c>
      <c r="F10" s="954" t="s">
        <v>872</v>
      </c>
      <c r="G10" s="954" t="s">
        <v>873</v>
      </c>
      <c r="H10" s="954" t="s">
        <v>874</v>
      </c>
      <c r="I10" s="633"/>
      <c r="J10" s="970" t="s">
        <v>875</v>
      </c>
      <c r="K10" s="972" t="s">
        <v>876</v>
      </c>
      <c r="L10" s="973" t="s">
        <v>18</v>
      </c>
      <c r="M10" s="954" t="s">
        <v>10</v>
      </c>
      <c r="N10" s="516" t="s">
        <v>877</v>
      </c>
      <c r="O10" s="516" t="s">
        <v>878</v>
      </c>
      <c r="P10" s="954" t="s">
        <v>879</v>
      </c>
      <c r="Q10" s="951" t="s">
        <v>880</v>
      </c>
      <c r="S10" s="951"/>
    </row>
    <row r="11" spans="1:19" x14ac:dyDescent="0.25">
      <c r="A11" s="606" t="s">
        <v>881</v>
      </c>
      <c r="B11" s="517" t="s">
        <v>882</v>
      </c>
      <c r="C11" s="965"/>
      <c r="D11" s="968"/>
      <c r="E11" s="968"/>
      <c r="F11" s="955"/>
      <c r="G11" s="955"/>
      <c r="H11" s="955"/>
      <c r="I11" s="634" t="s">
        <v>936</v>
      </c>
      <c r="J11" s="971"/>
      <c r="K11" s="972"/>
      <c r="L11" s="974"/>
      <c r="M11" s="955"/>
      <c r="N11" s="517" t="s">
        <v>883</v>
      </c>
      <c r="O11" s="517" t="s">
        <v>884</v>
      </c>
      <c r="P11" s="955"/>
      <c r="Q11" s="952"/>
      <c r="S11" s="952"/>
    </row>
    <row r="12" spans="1:19" x14ac:dyDescent="0.25">
      <c r="A12" s="607"/>
      <c r="B12" s="518"/>
      <c r="C12" s="966"/>
      <c r="D12" s="969"/>
      <c r="E12" s="968"/>
      <c r="F12" s="955"/>
      <c r="G12" s="955"/>
      <c r="H12" s="955"/>
      <c r="I12" s="634"/>
      <c r="J12" s="971"/>
      <c r="K12" s="972"/>
      <c r="L12" s="974"/>
      <c r="M12" s="955"/>
      <c r="N12" s="517" t="s">
        <v>885</v>
      </c>
      <c r="O12" s="517" t="s">
        <v>886</v>
      </c>
      <c r="P12" s="955"/>
      <c r="Q12" s="952"/>
      <c r="S12" s="953"/>
    </row>
    <row r="13" spans="1:19" ht="66" x14ac:dyDescent="0.25">
      <c r="A13" s="608" t="s">
        <v>908</v>
      </c>
      <c r="B13" s="614" t="s">
        <v>894</v>
      </c>
      <c r="C13" s="612" t="s">
        <v>887</v>
      </c>
      <c r="D13" s="615" t="s">
        <v>590</v>
      </c>
      <c r="E13" s="632">
        <v>150739.4</v>
      </c>
      <c r="F13" s="566" t="s">
        <v>888</v>
      </c>
      <c r="G13" s="322" t="s">
        <v>925</v>
      </c>
      <c r="H13" s="306" t="s">
        <v>549</v>
      </c>
      <c r="I13" s="306" t="s">
        <v>549</v>
      </c>
      <c r="J13" s="306" t="s">
        <v>926</v>
      </c>
      <c r="K13" s="632">
        <v>149835.98000000001</v>
      </c>
      <c r="L13" s="566" t="s">
        <v>923</v>
      </c>
      <c r="M13" s="306" t="s">
        <v>927</v>
      </c>
      <c r="N13" s="306" t="s">
        <v>924</v>
      </c>
      <c r="O13" s="306" t="s">
        <v>886</v>
      </c>
      <c r="P13" s="306" t="s">
        <v>592</v>
      </c>
      <c r="Q13" s="306">
        <v>42055</v>
      </c>
      <c r="R13" s="622"/>
      <c r="S13" s="515"/>
    </row>
    <row r="14" spans="1:19" s="498" customFormat="1" ht="79.2" x14ac:dyDescent="0.25">
      <c r="A14" s="189" t="s">
        <v>909</v>
      </c>
      <c r="B14" s="189" t="s">
        <v>895</v>
      </c>
      <c r="C14" s="189" t="s">
        <v>887</v>
      </c>
      <c r="D14" s="560" t="s">
        <v>594</v>
      </c>
      <c r="E14" s="632">
        <v>143462.91</v>
      </c>
      <c r="F14" s="566" t="s">
        <v>888</v>
      </c>
      <c r="G14" s="322" t="s">
        <v>928</v>
      </c>
      <c r="H14" s="306" t="s">
        <v>930</v>
      </c>
      <c r="I14" s="306" t="s">
        <v>937</v>
      </c>
      <c r="J14" s="306" t="s">
        <v>929</v>
      </c>
      <c r="K14" s="632">
        <v>139158.49</v>
      </c>
      <c r="L14" s="566" t="s">
        <v>923</v>
      </c>
      <c r="M14" s="306" t="s">
        <v>927</v>
      </c>
      <c r="N14" s="306" t="s">
        <v>924</v>
      </c>
      <c r="O14" s="306" t="s">
        <v>886</v>
      </c>
      <c r="P14" s="306" t="s">
        <v>596</v>
      </c>
      <c r="Q14" s="567">
        <v>42055</v>
      </c>
      <c r="R14" s="519"/>
      <c r="S14" s="520"/>
    </row>
    <row r="15" spans="1:19" s="498" customFormat="1" ht="79.2" x14ac:dyDescent="0.25">
      <c r="A15" s="189" t="s">
        <v>910</v>
      </c>
      <c r="B15" s="189" t="s">
        <v>902</v>
      </c>
      <c r="C15" s="189" t="s">
        <v>896</v>
      </c>
      <c r="D15" s="560" t="s">
        <v>597</v>
      </c>
      <c r="E15" s="632">
        <v>105938</v>
      </c>
      <c r="F15" s="566" t="s">
        <v>888</v>
      </c>
      <c r="G15" s="322" t="s">
        <v>931</v>
      </c>
      <c r="H15" s="306" t="s">
        <v>932</v>
      </c>
      <c r="I15" s="306" t="s">
        <v>937</v>
      </c>
      <c r="J15" s="306" t="s">
        <v>929</v>
      </c>
      <c r="K15" s="632">
        <v>102763.86</v>
      </c>
      <c r="L15" s="566" t="s">
        <v>923</v>
      </c>
      <c r="M15" s="306" t="s">
        <v>927</v>
      </c>
      <c r="N15" s="306" t="s">
        <v>924</v>
      </c>
      <c r="O15" s="306" t="s">
        <v>886</v>
      </c>
      <c r="P15" s="306" t="s">
        <v>593</v>
      </c>
      <c r="Q15" s="567">
        <v>42054</v>
      </c>
      <c r="R15" s="519"/>
      <c r="S15" s="520"/>
    </row>
    <row r="16" spans="1:19" s="498" customFormat="1" ht="79.2" x14ac:dyDescent="0.25">
      <c r="A16" s="189" t="s">
        <v>911</v>
      </c>
      <c r="B16" s="189" t="s">
        <v>895</v>
      </c>
      <c r="C16" s="189" t="s">
        <v>897</v>
      </c>
      <c r="D16" s="560" t="s">
        <v>600</v>
      </c>
      <c r="E16" s="632">
        <v>101819.11</v>
      </c>
      <c r="F16" s="566" t="s">
        <v>888</v>
      </c>
      <c r="G16" s="322" t="s">
        <v>933</v>
      </c>
      <c r="H16" s="306" t="s">
        <v>934</v>
      </c>
      <c r="I16" s="306" t="s">
        <v>549</v>
      </c>
      <c r="J16" s="306" t="s">
        <v>926</v>
      </c>
      <c r="K16" s="632">
        <v>96237.54</v>
      </c>
      <c r="L16" s="566" t="s">
        <v>923</v>
      </c>
      <c r="M16" s="306" t="s">
        <v>927</v>
      </c>
      <c r="N16" s="306" t="s">
        <v>924</v>
      </c>
      <c r="O16" s="306" t="s">
        <v>886</v>
      </c>
      <c r="P16" s="306" t="s">
        <v>602</v>
      </c>
      <c r="Q16" s="306" t="s">
        <v>935</v>
      </c>
      <c r="R16" s="520"/>
      <c r="S16" s="520"/>
    </row>
    <row r="17" spans="1:19" s="498" customFormat="1" ht="79.2" x14ac:dyDescent="0.25">
      <c r="A17" s="189" t="s">
        <v>912</v>
      </c>
      <c r="B17" s="189" t="s">
        <v>903</v>
      </c>
      <c r="C17" s="189" t="s">
        <v>898</v>
      </c>
      <c r="D17" s="560" t="s">
        <v>603</v>
      </c>
      <c r="E17" s="632">
        <v>39300</v>
      </c>
      <c r="F17" s="566" t="s">
        <v>888</v>
      </c>
      <c r="G17" s="322" t="s">
        <v>938</v>
      </c>
      <c r="H17" s="306" t="s">
        <v>940</v>
      </c>
      <c r="I17" s="306" t="s">
        <v>939</v>
      </c>
      <c r="J17" s="306" t="s">
        <v>941</v>
      </c>
      <c r="K17" s="632">
        <v>39048.480000000003</v>
      </c>
      <c r="L17" s="566" t="s">
        <v>923</v>
      </c>
      <c r="M17" s="306" t="s">
        <v>927</v>
      </c>
      <c r="N17" s="306" t="s">
        <v>924</v>
      </c>
      <c r="O17" s="306" t="s">
        <v>886</v>
      </c>
      <c r="P17" s="306" t="s">
        <v>605</v>
      </c>
      <c r="Q17" s="306">
        <v>42062</v>
      </c>
      <c r="R17" s="520"/>
      <c r="S17" s="520"/>
    </row>
    <row r="18" spans="1:19" s="498" customFormat="1" ht="66" x14ac:dyDescent="0.25">
      <c r="A18" s="189" t="s">
        <v>913</v>
      </c>
      <c r="B18" s="189" t="s">
        <v>608</v>
      </c>
      <c r="C18" s="189" t="s">
        <v>887</v>
      </c>
      <c r="D18" s="560" t="s">
        <v>607</v>
      </c>
      <c r="E18" s="632">
        <v>8064.87</v>
      </c>
      <c r="F18" s="566" t="s">
        <v>888</v>
      </c>
      <c r="G18" s="322" t="s">
        <v>935</v>
      </c>
      <c r="H18" s="404" t="s">
        <v>942</v>
      </c>
      <c r="I18" s="306" t="s">
        <v>942</v>
      </c>
      <c r="J18" s="306" t="s">
        <v>943</v>
      </c>
      <c r="K18" s="632">
        <v>7621.55</v>
      </c>
      <c r="L18" s="566" t="s">
        <v>923</v>
      </c>
      <c r="M18" s="306" t="s">
        <v>927</v>
      </c>
      <c r="N18" s="306" t="s">
        <v>924</v>
      </c>
      <c r="O18" s="306" t="s">
        <v>886</v>
      </c>
      <c r="P18" s="306" t="s">
        <v>606</v>
      </c>
      <c r="Q18" s="306">
        <v>42059</v>
      </c>
      <c r="R18" s="520"/>
      <c r="S18" s="520"/>
    </row>
    <row r="19" spans="1:19" s="498" customFormat="1" ht="52.8" x14ac:dyDescent="0.25">
      <c r="A19" s="189" t="s">
        <v>914</v>
      </c>
      <c r="B19" s="189" t="s">
        <v>902</v>
      </c>
      <c r="C19" s="189" t="s">
        <v>899</v>
      </c>
      <c r="D19" s="560" t="s">
        <v>610</v>
      </c>
      <c r="E19" s="631"/>
      <c r="F19" s="566" t="s">
        <v>888</v>
      </c>
      <c r="G19" s="322"/>
      <c r="H19" s="570"/>
      <c r="I19" s="635"/>
      <c r="J19" s="602"/>
      <c r="K19" s="617"/>
      <c r="L19" s="566" t="s">
        <v>923</v>
      </c>
      <c r="M19" s="306" t="s">
        <v>927</v>
      </c>
      <c r="N19" s="306" t="s">
        <v>924</v>
      </c>
      <c r="O19" s="306" t="s">
        <v>886</v>
      </c>
      <c r="P19" s="306"/>
      <c r="Q19" s="306"/>
      <c r="R19" s="520"/>
      <c r="S19" s="520"/>
    </row>
    <row r="20" spans="1:19" s="498" customFormat="1" ht="39.6" x14ac:dyDescent="0.25">
      <c r="A20" s="189" t="s">
        <v>915</v>
      </c>
      <c r="B20" s="189" t="s">
        <v>904</v>
      </c>
      <c r="C20" s="189" t="s">
        <v>896</v>
      </c>
      <c r="D20" s="560" t="s">
        <v>614</v>
      </c>
      <c r="E20" s="571"/>
      <c r="F20" s="566" t="s">
        <v>888</v>
      </c>
      <c r="G20" s="322"/>
      <c r="H20" s="570"/>
      <c r="I20" s="570"/>
      <c r="J20" s="571"/>
      <c r="K20" s="571"/>
      <c r="L20" s="566" t="s">
        <v>923</v>
      </c>
      <c r="M20" s="306" t="s">
        <v>927</v>
      </c>
      <c r="N20" s="306" t="s">
        <v>924</v>
      </c>
      <c r="O20" s="306" t="s">
        <v>886</v>
      </c>
      <c r="P20" s="306"/>
      <c r="Q20" s="306"/>
      <c r="R20" s="520"/>
      <c r="S20" s="520"/>
    </row>
    <row r="21" spans="1:19" s="498" customFormat="1" ht="66" x14ac:dyDescent="0.25">
      <c r="A21" s="189" t="s">
        <v>916</v>
      </c>
      <c r="B21" s="189" t="s">
        <v>905</v>
      </c>
      <c r="C21" s="189" t="s">
        <v>897</v>
      </c>
      <c r="D21" s="560" t="s">
        <v>616</v>
      </c>
      <c r="E21" s="571"/>
      <c r="F21" s="566" t="s">
        <v>888</v>
      </c>
      <c r="G21" s="322"/>
      <c r="H21" s="570"/>
      <c r="I21" s="570"/>
      <c r="J21" s="571"/>
      <c r="K21" s="571"/>
      <c r="L21" s="566" t="s">
        <v>923</v>
      </c>
      <c r="M21" s="306" t="s">
        <v>927</v>
      </c>
      <c r="N21" s="306" t="s">
        <v>924</v>
      </c>
      <c r="O21" s="306" t="s">
        <v>886</v>
      </c>
      <c r="P21" s="306"/>
      <c r="Q21" s="306"/>
      <c r="R21" s="520"/>
      <c r="S21" s="520"/>
    </row>
    <row r="22" spans="1:19" s="498" customFormat="1" ht="92.4" x14ac:dyDescent="0.25">
      <c r="A22" s="189" t="s">
        <v>917</v>
      </c>
      <c r="B22" s="189" t="s">
        <v>906</v>
      </c>
      <c r="C22" s="189" t="s">
        <v>896</v>
      </c>
      <c r="D22" s="560" t="s">
        <v>619</v>
      </c>
      <c r="E22" s="568"/>
      <c r="F22" s="566" t="s">
        <v>888</v>
      </c>
      <c r="G22" s="322"/>
      <c r="H22" s="557"/>
      <c r="I22" s="557"/>
      <c r="J22" s="568"/>
      <c r="K22" s="568"/>
      <c r="L22" s="566" t="s">
        <v>923</v>
      </c>
      <c r="M22" s="306" t="s">
        <v>927</v>
      </c>
      <c r="N22" s="306" t="s">
        <v>924</v>
      </c>
      <c r="O22" s="306" t="s">
        <v>886</v>
      </c>
      <c r="P22" s="306"/>
      <c r="Q22" s="306"/>
      <c r="R22" s="520"/>
      <c r="S22" s="520"/>
    </row>
    <row r="23" spans="1:19" s="498" customFormat="1" ht="39.6" x14ac:dyDescent="0.25">
      <c r="A23" s="189" t="s">
        <v>918</v>
      </c>
      <c r="B23" s="189" t="s">
        <v>895</v>
      </c>
      <c r="C23" s="189" t="s">
        <v>900</v>
      </c>
      <c r="D23" s="560" t="s">
        <v>622</v>
      </c>
      <c r="E23" s="568"/>
      <c r="F23" s="566" t="s">
        <v>888</v>
      </c>
      <c r="G23" s="322"/>
      <c r="H23" s="557"/>
      <c r="I23" s="557"/>
      <c r="J23" s="568"/>
      <c r="K23" s="568"/>
      <c r="L23" s="566" t="s">
        <v>923</v>
      </c>
      <c r="M23" s="306" t="s">
        <v>927</v>
      </c>
      <c r="N23" s="306" t="s">
        <v>924</v>
      </c>
      <c r="O23" s="306" t="s">
        <v>886</v>
      </c>
      <c r="P23" s="569"/>
      <c r="Q23" s="569"/>
      <c r="R23" s="520"/>
      <c r="S23" s="520"/>
    </row>
    <row r="24" spans="1:19" s="498" customFormat="1" ht="52.8" x14ac:dyDescent="0.25">
      <c r="A24" s="189" t="s">
        <v>919</v>
      </c>
      <c r="B24" s="189" t="s">
        <v>903</v>
      </c>
      <c r="C24" s="189" t="s">
        <v>901</v>
      </c>
      <c r="D24" s="560" t="s">
        <v>625</v>
      </c>
      <c r="E24" s="572"/>
      <c r="F24" s="566" t="s">
        <v>888</v>
      </c>
      <c r="G24" s="322"/>
      <c r="H24" s="557"/>
      <c r="I24" s="557"/>
      <c r="J24" s="568"/>
      <c r="K24" s="568"/>
      <c r="L24" s="566" t="s">
        <v>923</v>
      </c>
      <c r="M24" s="306" t="s">
        <v>927</v>
      </c>
      <c r="N24" s="306" t="s">
        <v>924</v>
      </c>
      <c r="O24" s="306" t="s">
        <v>886</v>
      </c>
      <c r="P24" s="568"/>
      <c r="Q24" s="569"/>
      <c r="R24" s="520"/>
      <c r="S24" s="520"/>
    </row>
    <row r="25" spans="1:19" ht="39.6" x14ac:dyDescent="0.25">
      <c r="A25" s="609" t="s">
        <v>920</v>
      </c>
      <c r="B25" s="616" t="s">
        <v>904</v>
      </c>
      <c r="C25" s="609" t="s">
        <v>898</v>
      </c>
      <c r="D25" s="307" t="s">
        <v>628</v>
      </c>
      <c r="E25" s="625"/>
      <c r="F25" s="566" t="s">
        <v>888</v>
      </c>
      <c r="G25" s="322"/>
      <c r="H25" s="562"/>
      <c r="I25" s="562"/>
      <c r="J25" s="561"/>
      <c r="K25" s="563"/>
      <c r="L25" s="566" t="s">
        <v>923</v>
      </c>
      <c r="M25" s="306" t="s">
        <v>927</v>
      </c>
      <c r="N25" s="306" t="s">
        <v>924</v>
      </c>
      <c r="O25" s="306" t="s">
        <v>886</v>
      </c>
      <c r="P25" s="564"/>
      <c r="Q25" s="565"/>
    </row>
    <row r="26" spans="1:19" ht="52.8" x14ac:dyDescent="0.25">
      <c r="A26" s="610" t="s">
        <v>921</v>
      </c>
      <c r="B26" s="189" t="s">
        <v>907</v>
      </c>
      <c r="C26" s="613" t="s">
        <v>897</v>
      </c>
      <c r="D26" s="307" t="s">
        <v>631</v>
      </c>
      <c r="E26" s="626"/>
      <c r="F26" s="566" t="s">
        <v>888</v>
      </c>
      <c r="G26" s="322"/>
      <c r="H26" s="526"/>
      <c r="I26" s="526"/>
      <c r="J26" s="525"/>
      <c r="K26" s="527"/>
      <c r="L26" s="566" t="s">
        <v>923</v>
      </c>
      <c r="M26" s="306" t="s">
        <v>927</v>
      </c>
      <c r="N26" s="306" t="s">
        <v>924</v>
      </c>
      <c r="O26" s="306" t="s">
        <v>886</v>
      </c>
      <c r="P26" s="529"/>
      <c r="Q26" s="530"/>
    </row>
    <row r="27" spans="1:19" ht="39.6" x14ac:dyDescent="0.25">
      <c r="A27" s="610" t="s">
        <v>922</v>
      </c>
      <c r="B27" s="189" t="s">
        <v>906</v>
      </c>
      <c r="C27" s="613" t="s">
        <v>898</v>
      </c>
      <c r="D27" s="307" t="s">
        <v>634</v>
      </c>
      <c r="E27" s="627"/>
      <c r="F27" s="566" t="s">
        <v>888</v>
      </c>
      <c r="G27" s="322"/>
      <c r="H27" s="526"/>
      <c r="I27" s="526"/>
      <c r="J27" s="525"/>
      <c r="K27" s="532"/>
      <c r="L27" s="566" t="s">
        <v>923</v>
      </c>
      <c r="M27" s="306" t="s">
        <v>927</v>
      </c>
      <c r="N27" s="306" t="s">
        <v>924</v>
      </c>
      <c r="O27" s="306" t="s">
        <v>886</v>
      </c>
      <c r="P27" s="533"/>
      <c r="Q27" s="530"/>
    </row>
    <row r="28" spans="1:19" x14ac:dyDescent="0.25">
      <c r="A28" s="610"/>
      <c r="B28" s="523"/>
      <c r="C28" s="613"/>
      <c r="D28" s="534"/>
      <c r="E28" s="628"/>
      <c r="F28" s="524"/>
      <c r="G28" s="525"/>
      <c r="H28" s="540"/>
      <c r="I28" s="540"/>
      <c r="J28" s="539"/>
      <c r="K28" s="535"/>
      <c r="L28" s="528"/>
      <c r="M28" s="524"/>
      <c r="N28" s="536"/>
      <c r="O28" s="618"/>
      <c r="P28" s="536"/>
      <c r="Q28" s="619"/>
    </row>
    <row r="29" spans="1:19" x14ac:dyDescent="0.25">
      <c r="A29" s="608"/>
      <c r="B29" s="531"/>
      <c r="C29" s="612"/>
      <c r="D29" s="537"/>
      <c r="E29" s="628"/>
      <c r="F29" s="538"/>
      <c r="G29" s="620"/>
      <c r="H29" s="557"/>
      <c r="I29" s="557"/>
      <c r="J29" s="621"/>
      <c r="K29" s="541"/>
      <c r="L29" s="542"/>
      <c r="M29" s="538"/>
      <c r="N29" s="543"/>
      <c r="O29" s="538"/>
      <c r="P29" s="522"/>
      <c r="Q29" s="544"/>
    </row>
    <row r="30" spans="1:19" x14ac:dyDescent="0.25">
      <c r="A30" s="189"/>
      <c r="B30" s="545"/>
      <c r="C30" s="612"/>
      <c r="D30" s="546"/>
      <c r="E30" s="628"/>
      <c r="F30" s="538"/>
      <c r="G30" s="620"/>
      <c r="H30" s="557"/>
      <c r="I30" s="557"/>
      <c r="J30" s="621"/>
      <c r="K30" s="548"/>
      <c r="L30" s="542"/>
      <c r="M30" s="524"/>
      <c r="N30" s="536"/>
      <c r="O30" s="549"/>
      <c r="P30" s="536"/>
      <c r="Q30" s="550"/>
    </row>
    <row r="31" spans="1:19" x14ac:dyDescent="0.25">
      <c r="A31" s="190"/>
      <c r="B31" s="551"/>
      <c r="C31" s="612"/>
      <c r="D31" s="546"/>
      <c r="E31" s="628"/>
      <c r="F31" s="538"/>
      <c r="G31" s="620"/>
      <c r="H31" s="557"/>
      <c r="I31" s="557"/>
      <c r="J31" s="621"/>
      <c r="K31" s="552"/>
      <c r="L31" s="542"/>
      <c r="M31" s="524"/>
      <c r="N31" s="536"/>
      <c r="O31" s="549"/>
      <c r="P31" s="536"/>
      <c r="Q31" s="550"/>
    </row>
    <row r="32" spans="1:19" x14ac:dyDescent="0.25">
      <c r="A32" s="190"/>
      <c r="B32" s="551"/>
      <c r="C32" s="612"/>
      <c r="D32" s="546"/>
      <c r="E32" s="628"/>
      <c r="F32" s="538"/>
      <c r="G32" s="620"/>
      <c r="H32" s="557"/>
      <c r="I32" s="557"/>
      <c r="J32" s="621"/>
      <c r="K32" s="552"/>
      <c r="L32" s="542"/>
      <c r="M32" s="524"/>
      <c r="N32" s="536"/>
      <c r="O32" s="549"/>
      <c r="P32" s="536"/>
      <c r="Q32" s="550"/>
    </row>
    <row r="33" spans="1:19" x14ac:dyDescent="0.25">
      <c r="A33" s="190"/>
      <c r="B33" s="551"/>
      <c r="C33" s="612"/>
      <c r="D33" s="546"/>
      <c r="E33" s="628"/>
      <c r="F33" s="538"/>
      <c r="G33" s="553"/>
      <c r="H33" s="554"/>
      <c r="I33" s="554"/>
      <c r="J33" s="553"/>
      <c r="K33" s="555"/>
      <c r="L33" s="542"/>
      <c r="M33" s="524"/>
      <c r="N33" s="536"/>
      <c r="O33" s="549"/>
      <c r="P33" s="536"/>
      <c r="Q33" s="550"/>
      <c r="R33" s="129"/>
      <c r="S33" s="129"/>
    </row>
    <row r="34" spans="1:19" x14ac:dyDescent="0.25">
      <c r="A34" s="190"/>
      <c r="B34" s="551"/>
      <c r="C34" s="612"/>
      <c r="D34" s="546"/>
      <c r="E34" s="628"/>
      <c r="F34" s="538"/>
      <c r="G34" s="539"/>
      <c r="H34" s="521"/>
      <c r="I34" s="521"/>
      <c r="J34" s="547"/>
      <c r="K34" s="552"/>
      <c r="L34" s="542"/>
      <c r="M34" s="524"/>
      <c r="N34" s="536"/>
      <c r="O34" s="549"/>
      <c r="P34" s="536"/>
      <c r="Q34" s="550"/>
      <c r="R34" s="129"/>
      <c r="S34" s="129"/>
    </row>
    <row r="35" spans="1:19" x14ac:dyDescent="0.25">
      <c r="A35" s="189"/>
      <c r="B35" s="551"/>
      <c r="C35" s="189"/>
      <c r="D35" s="534"/>
      <c r="E35" s="572"/>
      <c r="F35" s="549"/>
      <c r="G35" s="556"/>
      <c r="H35" s="557"/>
      <c r="I35" s="557"/>
      <c r="J35" s="556"/>
      <c r="K35" s="535"/>
      <c r="L35" s="548"/>
      <c r="M35" s="549"/>
      <c r="N35" s="536"/>
      <c r="O35" s="536"/>
      <c r="P35" s="536"/>
      <c r="Q35" s="550"/>
      <c r="R35" s="129"/>
      <c r="S35" s="129"/>
    </row>
    <row r="36" spans="1:19" x14ac:dyDescent="0.25">
      <c r="R36" s="129"/>
      <c r="S36" s="129"/>
    </row>
    <row r="37" spans="1:19" x14ac:dyDescent="0.25">
      <c r="R37" s="129"/>
      <c r="S37" s="129"/>
    </row>
    <row r="38" spans="1:19" x14ac:dyDescent="0.25">
      <c r="D38" s="500" t="s">
        <v>889</v>
      </c>
      <c r="G38" s="500" t="s">
        <v>889</v>
      </c>
      <c r="J38" s="500"/>
      <c r="L38" s="500" t="s">
        <v>889</v>
      </c>
      <c r="R38" s="129"/>
      <c r="S38" s="129"/>
    </row>
    <row r="39" spans="1:19" x14ac:dyDescent="0.25">
      <c r="D39" s="558" t="s">
        <v>890</v>
      </c>
      <c r="E39" s="630"/>
      <c r="G39" s="558" t="s">
        <v>891</v>
      </c>
      <c r="H39" s="559"/>
      <c r="I39" s="559"/>
      <c r="J39" s="558"/>
      <c r="L39" s="558" t="s">
        <v>892</v>
      </c>
      <c r="R39" s="129"/>
      <c r="S39" s="129"/>
    </row>
    <row r="40" spans="1:19" x14ac:dyDescent="0.25">
      <c r="D40" s="558"/>
      <c r="E40" s="630"/>
      <c r="R40" s="129"/>
      <c r="S40" s="129"/>
    </row>
    <row r="41" spans="1:19" x14ac:dyDescent="0.25">
      <c r="R41" s="129"/>
      <c r="S41" s="129"/>
    </row>
    <row r="42" spans="1:19" x14ac:dyDescent="0.25">
      <c r="B42" s="129"/>
      <c r="F42" s="129"/>
      <c r="R42" s="129"/>
      <c r="S42" s="129"/>
    </row>
    <row r="43" spans="1:19" x14ac:dyDescent="0.25">
      <c r="B43" s="129"/>
      <c r="F43" s="129"/>
      <c r="R43" s="129"/>
      <c r="S43" s="129"/>
    </row>
    <row r="44" spans="1:19" x14ac:dyDescent="0.25">
      <c r="B44" s="129"/>
      <c r="F44" s="129"/>
      <c r="R44" s="129"/>
      <c r="S44" s="129"/>
    </row>
    <row r="45" spans="1:19" x14ac:dyDescent="0.25">
      <c r="B45" s="129"/>
      <c r="F45" s="129"/>
      <c r="R45" s="129"/>
      <c r="S45" s="129"/>
    </row>
    <row r="46" spans="1:19" x14ac:dyDescent="0.25">
      <c r="B46" s="129"/>
      <c r="F46" s="129"/>
      <c r="R46" s="129"/>
      <c r="S46" s="129"/>
    </row>
    <row r="47" spans="1:19" x14ac:dyDescent="0.25">
      <c r="B47" s="129"/>
      <c r="F47" s="129"/>
      <c r="R47" s="129"/>
      <c r="S47" s="129"/>
    </row>
    <row r="48" spans="1:19" x14ac:dyDescent="0.25">
      <c r="B48" s="129"/>
      <c r="F48" s="129"/>
      <c r="R48" s="129"/>
      <c r="S48" s="129"/>
    </row>
    <row r="49" spans="2:19" x14ac:dyDescent="0.25">
      <c r="B49" s="129"/>
      <c r="F49" s="129"/>
      <c r="H49" s="129"/>
      <c r="I49" s="129"/>
      <c r="Q49" s="129"/>
      <c r="R49" s="129"/>
      <c r="S49" s="129"/>
    </row>
    <row r="50" spans="2:19" x14ac:dyDescent="0.25">
      <c r="B50" s="129"/>
      <c r="F50" s="129"/>
      <c r="H50" s="129"/>
      <c r="I50" s="129"/>
      <c r="Q50" s="129"/>
      <c r="R50" s="129"/>
      <c r="S50" s="129"/>
    </row>
    <row r="51" spans="2:19" x14ac:dyDescent="0.25">
      <c r="B51" s="129"/>
      <c r="F51" s="129"/>
      <c r="H51" s="129"/>
      <c r="I51" s="129"/>
      <c r="Q51" s="129"/>
      <c r="R51" s="129"/>
      <c r="S51" s="129"/>
    </row>
    <row r="52" spans="2:19" x14ac:dyDescent="0.25">
      <c r="B52" s="129"/>
      <c r="F52" s="129"/>
      <c r="H52" s="129"/>
      <c r="I52" s="129"/>
      <c r="Q52" s="129"/>
      <c r="R52" s="129"/>
      <c r="S52" s="129"/>
    </row>
    <row r="53" spans="2:19" x14ac:dyDescent="0.25">
      <c r="B53" s="129"/>
      <c r="F53" s="129"/>
      <c r="H53" s="129"/>
      <c r="I53" s="129"/>
      <c r="Q53" s="129"/>
      <c r="R53" s="129"/>
      <c r="S53" s="129"/>
    </row>
    <row r="54" spans="2:19" x14ac:dyDescent="0.25">
      <c r="B54" s="129"/>
      <c r="F54" s="129"/>
      <c r="H54" s="129"/>
      <c r="I54" s="129"/>
      <c r="Q54" s="129"/>
      <c r="R54" s="129"/>
      <c r="S54" s="129"/>
    </row>
    <row r="55" spans="2:19" x14ac:dyDescent="0.25">
      <c r="B55" s="129"/>
      <c r="F55" s="129"/>
      <c r="H55" s="129"/>
      <c r="I55" s="129"/>
      <c r="Q55" s="129"/>
      <c r="R55" s="129"/>
      <c r="S55" s="129"/>
    </row>
    <row r="56" spans="2:19" x14ac:dyDescent="0.25">
      <c r="B56" s="129"/>
      <c r="F56" s="129"/>
      <c r="H56" s="129"/>
      <c r="I56" s="129"/>
      <c r="Q56" s="129"/>
      <c r="R56" s="129"/>
      <c r="S56" s="129"/>
    </row>
    <row r="57" spans="2:19" x14ac:dyDescent="0.25">
      <c r="B57" s="129"/>
      <c r="F57" s="129"/>
      <c r="H57" s="129"/>
      <c r="I57" s="129"/>
      <c r="Q57" s="129"/>
      <c r="R57" s="129"/>
      <c r="S57" s="129"/>
    </row>
    <row r="58" spans="2:19" x14ac:dyDescent="0.25">
      <c r="B58" s="129"/>
      <c r="F58" s="129"/>
      <c r="H58" s="129"/>
      <c r="I58" s="129"/>
      <c r="Q58" s="129"/>
      <c r="R58" s="129"/>
      <c r="S58" s="129"/>
    </row>
    <row r="59" spans="2:19" x14ac:dyDescent="0.25">
      <c r="B59" s="129"/>
      <c r="F59" s="129"/>
      <c r="H59" s="129"/>
      <c r="I59" s="129"/>
      <c r="Q59" s="129"/>
      <c r="R59" s="129"/>
      <c r="S59" s="129"/>
    </row>
    <row r="60" spans="2:19" x14ac:dyDescent="0.25">
      <c r="B60" s="129"/>
      <c r="F60" s="129"/>
      <c r="H60" s="129"/>
      <c r="I60" s="129"/>
      <c r="Q60" s="129"/>
      <c r="R60" s="129"/>
      <c r="S60" s="129"/>
    </row>
    <row r="61" spans="2:19" x14ac:dyDescent="0.25">
      <c r="B61" s="129"/>
      <c r="F61" s="129"/>
      <c r="H61" s="129"/>
      <c r="I61" s="129"/>
      <c r="Q61" s="129"/>
      <c r="R61" s="129"/>
      <c r="S61" s="129"/>
    </row>
    <row r="62" spans="2:19" x14ac:dyDescent="0.25">
      <c r="B62" s="129"/>
      <c r="F62" s="129"/>
      <c r="H62" s="129"/>
      <c r="I62" s="129"/>
      <c r="Q62" s="129"/>
      <c r="R62" s="129"/>
      <c r="S62" s="129"/>
    </row>
    <row r="63" spans="2:19" x14ac:dyDescent="0.25">
      <c r="B63" s="129"/>
      <c r="F63" s="129"/>
      <c r="H63" s="129"/>
      <c r="I63" s="129"/>
      <c r="Q63" s="129"/>
      <c r="R63" s="129"/>
      <c r="S63" s="129"/>
    </row>
    <row r="64" spans="2:19" x14ac:dyDescent="0.25">
      <c r="B64" s="129"/>
      <c r="F64" s="129"/>
      <c r="H64" s="129"/>
      <c r="I64" s="129"/>
      <c r="Q64" s="129"/>
      <c r="R64" s="129"/>
      <c r="S64" s="129"/>
    </row>
    <row r="65" spans="2:19" x14ac:dyDescent="0.25">
      <c r="B65" s="129"/>
      <c r="F65" s="129"/>
      <c r="H65" s="129"/>
      <c r="I65" s="129"/>
      <c r="Q65" s="129"/>
      <c r="R65" s="129"/>
      <c r="S65" s="129"/>
    </row>
    <row r="66" spans="2:19" x14ac:dyDescent="0.25">
      <c r="B66" s="129"/>
      <c r="F66" s="129"/>
      <c r="H66" s="129"/>
      <c r="I66" s="129"/>
      <c r="Q66" s="129"/>
      <c r="R66" s="129"/>
      <c r="S66" s="129"/>
    </row>
    <row r="67" spans="2:19" x14ac:dyDescent="0.25">
      <c r="B67" s="129"/>
      <c r="F67" s="129"/>
      <c r="H67" s="129"/>
      <c r="I67" s="129"/>
      <c r="Q67" s="129"/>
      <c r="R67" s="129"/>
      <c r="S67" s="129"/>
    </row>
    <row r="68" spans="2:19" x14ac:dyDescent="0.25">
      <c r="B68" s="129"/>
      <c r="F68" s="129"/>
      <c r="H68" s="129"/>
      <c r="I68" s="129"/>
      <c r="Q68" s="129"/>
      <c r="R68" s="129"/>
      <c r="S68" s="129"/>
    </row>
    <row r="69" spans="2:19" x14ac:dyDescent="0.25">
      <c r="B69" s="129"/>
      <c r="F69" s="129"/>
      <c r="H69" s="129"/>
      <c r="I69" s="129"/>
      <c r="Q69" s="129"/>
      <c r="R69" s="129"/>
      <c r="S69" s="129"/>
    </row>
    <row r="70" spans="2:19" x14ac:dyDescent="0.25">
      <c r="B70" s="129"/>
      <c r="F70" s="129"/>
      <c r="H70" s="129"/>
      <c r="I70" s="129"/>
      <c r="Q70" s="129"/>
      <c r="R70" s="129"/>
      <c r="S70" s="129"/>
    </row>
    <row r="71" spans="2:19" x14ac:dyDescent="0.25">
      <c r="B71" s="129"/>
      <c r="F71" s="129"/>
      <c r="H71" s="129"/>
      <c r="I71" s="129"/>
      <c r="Q71" s="129"/>
      <c r="R71" s="129"/>
      <c r="S71" s="129"/>
    </row>
    <row r="72" spans="2:19" x14ac:dyDescent="0.25">
      <c r="B72" s="129"/>
      <c r="F72" s="129"/>
      <c r="H72" s="129"/>
      <c r="I72" s="129"/>
      <c r="Q72" s="129"/>
      <c r="R72" s="129"/>
      <c r="S72" s="129"/>
    </row>
    <row r="73" spans="2:19" x14ac:dyDescent="0.25">
      <c r="B73" s="129"/>
      <c r="F73" s="129"/>
      <c r="H73" s="129"/>
      <c r="I73" s="129"/>
      <c r="Q73" s="129"/>
      <c r="R73" s="129"/>
      <c r="S73" s="129"/>
    </row>
    <row r="74" spans="2:19" x14ac:dyDescent="0.25">
      <c r="B74" s="129"/>
      <c r="F74" s="129"/>
      <c r="H74" s="129"/>
      <c r="I74" s="129"/>
      <c r="Q74" s="129"/>
      <c r="R74" s="129"/>
      <c r="S74" s="129"/>
    </row>
    <row r="75" spans="2:19" x14ac:dyDescent="0.25">
      <c r="B75" s="129"/>
      <c r="F75" s="129"/>
      <c r="H75" s="129"/>
      <c r="I75" s="129"/>
      <c r="Q75" s="129"/>
      <c r="R75" s="129"/>
      <c r="S75" s="129"/>
    </row>
    <row r="76" spans="2:19" x14ac:dyDescent="0.25">
      <c r="B76" s="129"/>
      <c r="F76" s="129"/>
      <c r="H76" s="129"/>
      <c r="I76" s="129"/>
      <c r="Q76" s="129"/>
      <c r="R76" s="129"/>
      <c r="S76" s="129"/>
    </row>
    <row r="77" spans="2:19" x14ac:dyDescent="0.25">
      <c r="B77" s="129"/>
      <c r="F77" s="129"/>
      <c r="H77" s="129"/>
      <c r="I77" s="129"/>
      <c r="Q77" s="129"/>
      <c r="R77" s="129"/>
      <c r="S77" s="129"/>
    </row>
    <row r="78" spans="2:19" x14ac:dyDescent="0.25">
      <c r="B78" s="129"/>
      <c r="F78" s="129"/>
      <c r="H78" s="129"/>
      <c r="I78" s="129"/>
      <c r="Q78" s="129"/>
      <c r="R78" s="129"/>
      <c r="S78" s="129"/>
    </row>
    <row r="79" spans="2:19" x14ac:dyDescent="0.25">
      <c r="B79" s="129"/>
      <c r="F79" s="129"/>
      <c r="H79" s="129"/>
      <c r="I79" s="129"/>
      <c r="Q79" s="129"/>
      <c r="R79" s="129"/>
      <c r="S79" s="129"/>
    </row>
    <row r="80" spans="2:19" x14ac:dyDescent="0.25">
      <c r="B80" s="129"/>
      <c r="F80" s="129"/>
      <c r="H80" s="129"/>
      <c r="I80" s="129"/>
      <c r="Q80" s="129"/>
      <c r="R80" s="129"/>
      <c r="S80" s="129"/>
    </row>
    <row r="81" spans="2:19" x14ac:dyDescent="0.25">
      <c r="B81" s="129"/>
      <c r="F81" s="129"/>
      <c r="H81" s="129"/>
      <c r="I81" s="129"/>
      <c r="Q81" s="129"/>
      <c r="R81" s="129"/>
      <c r="S81" s="129"/>
    </row>
    <row r="82" spans="2:19" x14ac:dyDescent="0.25">
      <c r="B82" s="129"/>
      <c r="F82" s="129"/>
      <c r="H82" s="129"/>
      <c r="I82" s="129"/>
      <c r="Q82" s="129"/>
      <c r="R82" s="129"/>
      <c r="S82" s="129"/>
    </row>
    <row r="83" spans="2:19" x14ac:dyDescent="0.25">
      <c r="B83" s="129"/>
      <c r="F83" s="129"/>
      <c r="H83" s="129"/>
      <c r="I83" s="129"/>
      <c r="Q83" s="129"/>
      <c r="R83" s="129"/>
      <c r="S83" s="129"/>
    </row>
    <row r="84" spans="2:19" x14ac:dyDescent="0.25">
      <c r="B84" s="129"/>
      <c r="F84" s="129"/>
      <c r="H84" s="129"/>
      <c r="I84" s="129"/>
      <c r="Q84" s="129"/>
      <c r="R84" s="129"/>
      <c r="S84" s="129"/>
    </row>
    <row r="85" spans="2:19" x14ac:dyDescent="0.25">
      <c r="B85" s="129"/>
      <c r="F85" s="129"/>
      <c r="H85" s="129"/>
      <c r="I85" s="129"/>
      <c r="Q85" s="129"/>
      <c r="R85" s="129"/>
      <c r="S85" s="129"/>
    </row>
    <row r="86" spans="2:19" x14ac:dyDescent="0.25">
      <c r="B86" s="129"/>
      <c r="F86" s="129"/>
      <c r="H86" s="129"/>
      <c r="I86" s="129"/>
      <c r="Q86" s="129"/>
      <c r="R86" s="129"/>
      <c r="S86" s="129"/>
    </row>
    <row r="87" spans="2:19" x14ac:dyDescent="0.25">
      <c r="B87" s="129"/>
      <c r="F87" s="129"/>
      <c r="H87" s="129"/>
      <c r="I87" s="129"/>
      <c r="Q87" s="129"/>
      <c r="R87" s="129"/>
      <c r="S87" s="129"/>
    </row>
    <row r="88" spans="2:19" x14ac:dyDescent="0.25">
      <c r="B88" s="129"/>
      <c r="F88" s="129"/>
      <c r="H88" s="129"/>
      <c r="I88" s="129"/>
      <c r="Q88" s="129"/>
      <c r="R88" s="129"/>
      <c r="S88" s="129"/>
    </row>
    <row r="89" spans="2:19" x14ac:dyDescent="0.25">
      <c r="B89" s="129"/>
      <c r="F89" s="129"/>
      <c r="H89" s="129"/>
      <c r="I89" s="129"/>
      <c r="Q89" s="129"/>
      <c r="R89" s="129"/>
      <c r="S89" s="129"/>
    </row>
    <row r="90" spans="2:19" x14ac:dyDescent="0.25">
      <c r="B90" s="129"/>
      <c r="F90" s="129"/>
      <c r="H90" s="129"/>
      <c r="I90" s="129"/>
      <c r="Q90" s="129"/>
      <c r="R90" s="129"/>
      <c r="S90" s="129"/>
    </row>
    <row r="91" spans="2:19" x14ac:dyDescent="0.25">
      <c r="B91" s="129"/>
      <c r="F91" s="129"/>
      <c r="H91" s="129"/>
      <c r="I91" s="129"/>
      <c r="Q91" s="129"/>
      <c r="R91" s="129"/>
      <c r="S91" s="129"/>
    </row>
    <row r="92" spans="2:19" x14ac:dyDescent="0.25">
      <c r="B92" s="129"/>
      <c r="F92" s="129"/>
      <c r="H92" s="129"/>
      <c r="I92" s="129"/>
      <c r="Q92" s="129"/>
      <c r="R92" s="129"/>
      <c r="S92" s="129"/>
    </row>
    <row r="93" spans="2:19" x14ac:dyDescent="0.25">
      <c r="B93" s="129"/>
      <c r="F93" s="129"/>
      <c r="H93" s="129"/>
      <c r="I93" s="129"/>
      <c r="Q93" s="129"/>
      <c r="R93" s="129"/>
      <c r="S93" s="129"/>
    </row>
    <row r="94" spans="2:19" x14ac:dyDescent="0.25">
      <c r="B94" s="129"/>
      <c r="F94" s="129"/>
      <c r="H94" s="129"/>
      <c r="I94" s="129"/>
      <c r="Q94" s="129"/>
      <c r="R94" s="129"/>
      <c r="S94" s="129"/>
    </row>
    <row r="95" spans="2:19" x14ac:dyDescent="0.25">
      <c r="B95" s="129"/>
      <c r="F95" s="129"/>
      <c r="H95" s="129"/>
      <c r="I95" s="129"/>
      <c r="Q95" s="129"/>
      <c r="R95" s="129"/>
      <c r="S95" s="129"/>
    </row>
    <row r="96" spans="2:19" x14ac:dyDescent="0.25">
      <c r="B96" s="129"/>
      <c r="F96" s="129"/>
      <c r="H96" s="129"/>
      <c r="I96" s="129"/>
      <c r="Q96" s="129"/>
      <c r="R96" s="129"/>
      <c r="S96" s="129"/>
    </row>
    <row r="97" spans="2:19" x14ac:dyDescent="0.25">
      <c r="B97" s="129"/>
      <c r="F97" s="129"/>
      <c r="H97" s="129"/>
      <c r="I97" s="129"/>
      <c r="Q97" s="129"/>
      <c r="R97" s="129"/>
      <c r="S97" s="129"/>
    </row>
    <row r="98" spans="2:19" x14ac:dyDescent="0.25">
      <c r="B98" s="129"/>
      <c r="F98" s="129"/>
      <c r="H98" s="129"/>
      <c r="I98" s="129"/>
      <c r="Q98" s="129"/>
      <c r="R98" s="129"/>
      <c r="S98" s="129"/>
    </row>
    <row r="99" spans="2:19" x14ac:dyDescent="0.25">
      <c r="B99" s="129"/>
      <c r="F99" s="129"/>
      <c r="H99" s="129"/>
      <c r="I99" s="129"/>
      <c r="Q99" s="129"/>
      <c r="R99" s="129"/>
      <c r="S99" s="129"/>
    </row>
    <row r="100" spans="2:19" x14ac:dyDescent="0.25">
      <c r="B100" s="129"/>
      <c r="F100" s="129"/>
      <c r="H100" s="129"/>
      <c r="I100" s="129"/>
      <c r="Q100" s="129"/>
      <c r="R100" s="129"/>
      <c r="S100" s="129"/>
    </row>
    <row r="101" spans="2:19" x14ac:dyDescent="0.25">
      <c r="B101" s="129"/>
      <c r="F101" s="129"/>
      <c r="H101" s="129"/>
      <c r="I101" s="129"/>
      <c r="Q101" s="129"/>
      <c r="R101" s="129"/>
      <c r="S101" s="129"/>
    </row>
    <row r="102" spans="2:19" x14ac:dyDescent="0.25">
      <c r="B102" s="129"/>
      <c r="F102" s="129"/>
      <c r="H102" s="129"/>
      <c r="I102" s="129"/>
      <c r="Q102" s="129"/>
      <c r="R102" s="129"/>
      <c r="S102" s="129"/>
    </row>
    <row r="103" spans="2:19" x14ac:dyDescent="0.25">
      <c r="B103" s="129"/>
      <c r="F103" s="129"/>
      <c r="H103" s="129"/>
      <c r="I103" s="129"/>
      <c r="Q103" s="129"/>
      <c r="R103" s="129"/>
      <c r="S103" s="129"/>
    </row>
    <row r="104" spans="2:19" x14ac:dyDescent="0.25">
      <c r="B104" s="129"/>
      <c r="F104" s="129"/>
      <c r="H104" s="129"/>
      <c r="I104" s="129"/>
      <c r="Q104" s="129"/>
      <c r="R104" s="129"/>
      <c r="S104" s="129"/>
    </row>
    <row r="105" spans="2:19" x14ac:dyDescent="0.25">
      <c r="B105" s="129"/>
      <c r="F105" s="129"/>
      <c r="H105" s="129"/>
      <c r="I105" s="129"/>
      <c r="Q105" s="129"/>
      <c r="R105" s="129"/>
      <c r="S105" s="129"/>
    </row>
    <row r="106" spans="2:19" x14ac:dyDescent="0.25">
      <c r="B106" s="129"/>
      <c r="F106" s="129"/>
      <c r="H106" s="129"/>
      <c r="I106" s="129"/>
      <c r="Q106" s="129"/>
      <c r="R106" s="129"/>
      <c r="S106" s="129"/>
    </row>
    <row r="107" spans="2:19" x14ac:dyDescent="0.25">
      <c r="B107" s="129"/>
      <c r="F107" s="129"/>
      <c r="H107" s="129"/>
      <c r="I107" s="129"/>
      <c r="Q107" s="129"/>
      <c r="R107" s="129"/>
      <c r="S107" s="129"/>
    </row>
    <row r="108" spans="2:19" x14ac:dyDescent="0.25">
      <c r="B108" s="129"/>
      <c r="F108" s="129"/>
      <c r="H108" s="129"/>
      <c r="I108" s="129"/>
      <c r="Q108" s="129"/>
      <c r="R108" s="129"/>
      <c r="S108" s="129"/>
    </row>
    <row r="109" spans="2:19" x14ac:dyDescent="0.25">
      <c r="B109" s="129"/>
      <c r="F109" s="129"/>
      <c r="H109" s="129"/>
      <c r="I109" s="129"/>
      <c r="Q109" s="129"/>
      <c r="R109" s="129"/>
      <c r="S109" s="129"/>
    </row>
    <row r="110" spans="2:19" x14ac:dyDescent="0.25">
      <c r="B110" s="129"/>
      <c r="F110" s="129"/>
      <c r="H110" s="129"/>
      <c r="I110" s="129"/>
      <c r="Q110" s="129"/>
      <c r="R110" s="129"/>
      <c r="S110" s="129"/>
    </row>
  </sheetData>
  <mergeCells count="20">
    <mergeCell ref="J10:J12"/>
    <mergeCell ref="K10:K12"/>
    <mergeCell ref="L10:L12"/>
    <mergeCell ref="M10:M12"/>
    <mergeCell ref="S10:S12"/>
    <mergeCell ref="P10:P12"/>
    <mergeCell ref="Q10:Q12"/>
    <mergeCell ref="A1:Q1"/>
    <mergeCell ref="A2:Q2"/>
    <mergeCell ref="A4:Q4"/>
    <mergeCell ref="A6:D6"/>
    <mergeCell ref="K6:M6"/>
    <mergeCell ref="J7:M7"/>
    <mergeCell ref="D9:N9"/>
    <mergeCell ref="C10:C12"/>
    <mergeCell ref="D10:D12"/>
    <mergeCell ref="E10:E12"/>
    <mergeCell ref="F10:F12"/>
    <mergeCell ref="G10:G12"/>
    <mergeCell ref="H10:H12"/>
  </mergeCells>
  <pageMargins left="0.511811024" right="0.511811024" top="0.78740157499999996" bottom="0.78740157499999996" header="0.31496062000000002" footer="0.31496062000000002"/>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0"/>
  <sheetViews>
    <sheetView view="pageBreakPreview" topLeftCell="A10" zoomScaleSheetLayoutView="100" workbookViewId="0">
      <pane xSplit="2" ySplit="6" topLeftCell="D16" activePane="bottomRight" state="frozen"/>
      <selection activeCell="A10" sqref="A10"/>
      <selection pane="topRight" activeCell="C10" sqref="C10"/>
      <selection pane="bottomLeft" activeCell="A16" sqref="A16"/>
      <selection pane="bottomRight" activeCell="C16" sqref="C16:L16"/>
    </sheetView>
  </sheetViews>
  <sheetFormatPr defaultColWidth="9.109375" defaultRowHeight="13.2" x14ac:dyDescent="0.25"/>
  <cols>
    <col min="1" max="2" width="8.6640625" style="3" customWidth="1"/>
    <col min="3" max="3" width="80.6640625" style="3" customWidth="1"/>
    <col min="4" max="4" width="12.44140625" style="3" customWidth="1"/>
    <col min="5" max="5" width="10.6640625" style="129" customWidth="1"/>
    <col min="6" max="6" width="12.33203125" style="3" customWidth="1"/>
    <col min="7" max="7" width="9.6640625" style="3" customWidth="1"/>
    <col min="8" max="8" width="10.6640625" style="3" hidden="1" customWidth="1"/>
    <col min="9" max="9" width="9.6640625" style="3" hidden="1" customWidth="1"/>
    <col min="10" max="10" width="16.33203125" style="23" customWidth="1"/>
    <col min="11" max="11" width="16" style="23" customWidth="1"/>
    <col min="12" max="12" width="15.44140625" style="23" customWidth="1"/>
    <col min="13" max="13" width="13.44140625" style="3" customWidth="1"/>
    <col min="14" max="14" width="19.33203125" style="3" customWidth="1"/>
    <col min="15" max="15" width="11.6640625" style="3" bestFit="1" customWidth="1"/>
    <col min="16" max="16" width="8.6640625" style="3" customWidth="1"/>
    <col min="17" max="17" width="10.6640625" style="3" customWidth="1"/>
    <col min="18" max="18" width="10" style="3" bestFit="1" customWidth="1"/>
    <col min="19" max="19" width="16.44140625" style="3" customWidth="1"/>
    <col min="20" max="30" width="8.6640625" style="3" customWidth="1"/>
    <col min="31" max="16384" width="9.109375" style="3"/>
  </cols>
  <sheetData>
    <row r="1" spans="1:13" ht="27" customHeight="1" x14ac:dyDescent="0.4">
      <c r="A1" s="899" t="s">
        <v>20</v>
      </c>
      <c r="B1" s="899"/>
      <c r="C1" s="900"/>
      <c r="D1" s="900"/>
      <c r="E1" s="900"/>
      <c r="F1" s="900"/>
      <c r="G1" s="900"/>
      <c r="H1" s="900"/>
      <c r="I1" s="900"/>
      <c r="J1" s="900"/>
    </row>
    <row r="2" spans="1:13" ht="18" customHeight="1" x14ac:dyDescent="0.3">
      <c r="A2" s="901" t="s">
        <v>21</v>
      </c>
      <c r="B2" s="901"/>
      <c r="C2" s="901"/>
      <c r="D2" s="901"/>
      <c r="E2" s="901"/>
      <c r="F2" s="901"/>
      <c r="G2" s="901"/>
      <c r="H2" s="901"/>
      <c r="I2" s="901"/>
      <c r="J2" s="901"/>
    </row>
    <row r="3" spans="1:13" ht="12" customHeight="1" x14ac:dyDescent="0.3">
      <c r="A3" s="901"/>
      <c r="B3" s="901"/>
      <c r="C3" s="901"/>
      <c r="D3" s="901"/>
      <c r="E3" s="901"/>
      <c r="F3" s="901"/>
      <c r="G3" s="901"/>
      <c r="H3" s="901"/>
      <c r="I3" s="901"/>
      <c r="J3" s="901"/>
    </row>
    <row r="4" spans="1:13" ht="15.6" x14ac:dyDescent="0.3">
      <c r="A4" s="902" t="s">
        <v>22</v>
      </c>
      <c r="B4" s="902"/>
      <c r="C4" s="902"/>
      <c r="D4" s="902"/>
      <c r="E4" s="902"/>
      <c r="F4" s="902"/>
      <c r="G4" s="902"/>
      <c r="H4" s="902"/>
      <c r="I4" s="902"/>
      <c r="J4" s="902"/>
    </row>
    <row r="5" spans="1:13" ht="9.9" customHeight="1" thickBot="1" x14ac:dyDescent="0.35">
      <c r="A5" s="4"/>
      <c r="B5" s="4"/>
      <c r="C5" s="4"/>
      <c r="D5" s="4"/>
      <c r="E5" s="327"/>
      <c r="F5" s="4"/>
      <c r="G5" s="4"/>
      <c r="H5" s="4"/>
      <c r="I5" s="4"/>
      <c r="J5" s="59"/>
      <c r="K5" s="59"/>
      <c r="L5" s="59"/>
    </row>
    <row r="6" spans="1:13" ht="12" customHeight="1" x14ac:dyDescent="0.3">
      <c r="A6" s="52" t="s">
        <v>3</v>
      </c>
      <c r="B6" s="53"/>
      <c r="C6" s="53"/>
      <c r="D6" s="53"/>
      <c r="E6" s="328"/>
      <c r="F6" s="54" t="s">
        <v>14</v>
      </c>
      <c r="G6" s="53"/>
      <c r="H6" s="53"/>
      <c r="I6" s="53"/>
      <c r="J6" s="60"/>
      <c r="K6" s="60"/>
      <c r="L6" s="61"/>
    </row>
    <row r="7" spans="1:13" ht="15.6" x14ac:dyDescent="0.3">
      <c r="A7" s="898" t="s">
        <v>20</v>
      </c>
      <c r="B7" s="897"/>
      <c r="C7" s="897"/>
      <c r="D7" s="897"/>
      <c r="E7" s="638"/>
      <c r="F7" s="637">
        <v>2015</v>
      </c>
      <c r="G7" s="637"/>
      <c r="H7" s="637"/>
      <c r="I7" s="637"/>
      <c r="J7" s="62"/>
      <c r="K7" s="62"/>
      <c r="L7" s="63"/>
    </row>
    <row r="8" spans="1:13" ht="8.1" customHeight="1" x14ac:dyDescent="0.3">
      <c r="A8" s="636"/>
      <c r="B8" s="637"/>
      <c r="C8" s="637"/>
      <c r="D8" s="637"/>
      <c r="E8" s="638"/>
      <c r="F8" s="637"/>
      <c r="G8" s="637"/>
      <c r="H8" s="637"/>
      <c r="I8" s="637"/>
      <c r="J8" s="62"/>
      <c r="K8" s="62"/>
      <c r="L8" s="63"/>
    </row>
    <row r="9" spans="1:13" ht="12" customHeight="1" x14ac:dyDescent="0.3">
      <c r="A9" s="5" t="s">
        <v>13</v>
      </c>
      <c r="B9" s="637"/>
      <c r="C9" s="637"/>
      <c r="D9" s="637"/>
      <c r="E9" s="638"/>
      <c r="F9" s="6" t="s">
        <v>6</v>
      </c>
      <c r="G9" s="128"/>
      <c r="H9" s="128"/>
      <c r="I9" s="128"/>
      <c r="J9" s="64"/>
      <c r="K9" s="64"/>
      <c r="L9" s="65"/>
    </row>
    <row r="10" spans="1:13" ht="15.6" x14ac:dyDescent="0.3">
      <c r="A10" s="898" t="s">
        <v>24</v>
      </c>
      <c r="B10" s="897"/>
      <c r="C10" s="897"/>
      <c r="D10" s="897"/>
      <c r="E10" s="638"/>
      <c r="F10" s="897" t="s">
        <v>893</v>
      </c>
      <c r="G10" s="897"/>
      <c r="H10" s="897"/>
      <c r="I10" s="897"/>
      <c r="J10" s="897"/>
      <c r="K10" s="66"/>
      <c r="L10" s="67"/>
    </row>
    <row r="11" spans="1:13" ht="12.75" customHeight="1" thickBot="1" x14ac:dyDescent="0.3">
      <c r="A11" s="921"/>
      <c r="B11" s="922"/>
      <c r="C11" s="922"/>
      <c r="D11" s="922"/>
      <c r="E11" s="922"/>
      <c r="F11" s="922"/>
      <c r="G11" s="922"/>
      <c r="H11" s="922"/>
      <c r="I11" s="922"/>
      <c r="J11" s="922"/>
      <c r="K11" s="68"/>
      <c r="L11" s="69"/>
    </row>
    <row r="12" spans="1:13" ht="13.8" thickBot="1" x14ac:dyDescent="0.3">
      <c r="A12" s="923" t="s">
        <v>17</v>
      </c>
      <c r="B12" s="903" t="s">
        <v>0</v>
      </c>
      <c r="C12" s="904"/>
      <c r="D12" s="904"/>
      <c r="E12" s="926"/>
      <c r="F12" s="927" t="s">
        <v>11</v>
      </c>
      <c r="G12" s="930" t="s">
        <v>2</v>
      </c>
      <c r="H12" s="930" t="s">
        <v>18</v>
      </c>
      <c r="I12" s="903" t="s">
        <v>1</v>
      </c>
      <c r="J12" s="904"/>
      <c r="K12" s="904"/>
      <c r="L12" s="904"/>
      <c r="M12" s="87"/>
    </row>
    <row r="13" spans="1:13" ht="12.75" customHeight="1" x14ac:dyDescent="0.25">
      <c r="A13" s="924"/>
      <c r="B13" s="923" t="s">
        <v>7</v>
      </c>
      <c r="C13" s="933" t="s">
        <v>9</v>
      </c>
      <c r="D13" s="936" t="s">
        <v>8</v>
      </c>
      <c r="E13" s="915" t="s">
        <v>10</v>
      </c>
      <c r="F13" s="928"/>
      <c r="G13" s="931"/>
      <c r="H13" s="931"/>
      <c r="I13" s="894" t="s">
        <v>12</v>
      </c>
      <c r="J13" s="918" t="s">
        <v>32</v>
      </c>
      <c r="K13" s="918" t="s">
        <v>200</v>
      </c>
      <c r="L13" s="977" t="s">
        <v>201</v>
      </c>
      <c r="M13" s="87"/>
    </row>
    <row r="14" spans="1:13" ht="12" customHeight="1" x14ac:dyDescent="0.25">
      <c r="A14" s="924"/>
      <c r="B14" s="924"/>
      <c r="C14" s="934"/>
      <c r="D14" s="937"/>
      <c r="E14" s="916"/>
      <c r="F14" s="928"/>
      <c r="G14" s="931"/>
      <c r="H14" s="931"/>
      <c r="I14" s="895"/>
      <c r="J14" s="919"/>
      <c r="K14" s="919"/>
      <c r="L14" s="978"/>
      <c r="M14" s="87"/>
    </row>
    <row r="15" spans="1:13" ht="21.75" customHeight="1" thickBot="1" x14ac:dyDescent="0.3">
      <c r="A15" s="925"/>
      <c r="B15" s="925"/>
      <c r="C15" s="935"/>
      <c r="D15" s="938"/>
      <c r="E15" s="917"/>
      <c r="F15" s="929"/>
      <c r="G15" s="932"/>
      <c r="H15" s="932"/>
      <c r="I15" s="896"/>
      <c r="J15" s="920"/>
      <c r="K15" s="920"/>
      <c r="L15" s="979"/>
      <c r="M15" s="87"/>
    </row>
    <row r="16" spans="1:13" s="348" customFormat="1" ht="24.6" x14ac:dyDescent="0.25">
      <c r="A16" s="580"/>
      <c r="B16" s="581"/>
      <c r="C16" s="941" t="s">
        <v>589</v>
      </c>
      <c r="D16" s="941"/>
      <c r="E16" s="941"/>
      <c r="F16" s="941"/>
      <c r="G16" s="941"/>
      <c r="H16" s="941"/>
      <c r="I16" s="941"/>
      <c r="J16" s="941"/>
      <c r="K16" s="941"/>
      <c r="L16" s="975"/>
      <c r="M16" s="651"/>
    </row>
    <row r="17" spans="1:14" s="348" customFormat="1" ht="24.6" x14ac:dyDescent="0.25">
      <c r="A17" s="582"/>
      <c r="B17" s="573"/>
      <c r="C17" s="939" t="s">
        <v>364</v>
      </c>
      <c r="D17" s="939"/>
      <c r="E17" s="939"/>
      <c r="F17" s="939"/>
      <c r="G17" s="939"/>
      <c r="H17" s="939"/>
      <c r="I17" s="939"/>
      <c r="J17" s="939"/>
      <c r="K17" s="939"/>
      <c r="L17" s="976"/>
      <c r="M17" s="652"/>
    </row>
    <row r="18" spans="1:14" s="124" customFormat="1" ht="39.6" x14ac:dyDescent="0.25">
      <c r="A18" s="654"/>
      <c r="B18" s="655" t="s">
        <v>586</v>
      </c>
      <c r="C18" s="656" t="s">
        <v>590</v>
      </c>
      <c r="D18" s="386" t="s">
        <v>15</v>
      </c>
      <c r="E18" s="657" t="s">
        <v>221</v>
      </c>
      <c r="F18" s="393" t="s">
        <v>591</v>
      </c>
      <c r="G18" s="426" t="s">
        <v>592</v>
      </c>
      <c r="H18" s="390" t="s">
        <v>225</v>
      </c>
      <c r="I18" s="411" t="s">
        <v>5</v>
      </c>
      <c r="J18" s="405">
        <v>149835.98000000001</v>
      </c>
      <c r="K18" s="658">
        <f>13043.64</f>
        <v>13043.64</v>
      </c>
      <c r="L18" s="659">
        <f>174088.15+K18</f>
        <v>187131.78999999998</v>
      </c>
      <c r="M18" s="660" t="s">
        <v>339</v>
      </c>
      <c r="N18" s="661">
        <f>L18-J18</f>
        <v>37295.809999999969</v>
      </c>
    </row>
    <row r="19" spans="1:14" s="124" customFormat="1" ht="26.4" x14ac:dyDescent="0.25">
      <c r="A19" s="654"/>
      <c r="B19" s="662" t="s">
        <v>593</v>
      </c>
      <c r="C19" s="406" t="s">
        <v>594</v>
      </c>
      <c r="D19" s="386" t="s">
        <v>15</v>
      </c>
      <c r="E19" s="657" t="s">
        <v>221</v>
      </c>
      <c r="F19" s="393" t="s">
        <v>595</v>
      </c>
      <c r="G19" s="663" t="s">
        <v>596</v>
      </c>
      <c r="H19" s="390" t="s">
        <v>225</v>
      </c>
      <c r="I19" s="411" t="s">
        <v>5</v>
      </c>
      <c r="J19" s="405">
        <v>139158.49</v>
      </c>
      <c r="K19" s="658">
        <f>21342.18+26491.47+14970</f>
        <v>62803.65</v>
      </c>
      <c r="L19" s="659">
        <f>112667.02+K19</f>
        <v>175470.67</v>
      </c>
      <c r="M19" s="409" t="s">
        <v>789</v>
      </c>
      <c r="N19" s="661">
        <f t="shared" ref="N19:N32" si="0">L19-J19</f>
        <v>36312.180000000022</v>
      </c>
    </row>
    <row r="20" spans="1:14" s="124" customFormat="1" ht="39.6" x14ac:dyDescent="0.25">
      <c r="A20" s="654"/>
      <c r="B20" s="662" t="s">
        <v>592</v>
      </c>
      <c r="C20" s="406" t="s">
        <v>597</v>
      </c>
      <c r="D20" s="386" t="s">
        <v>15</v>
      </c>
      <c r="E20" s="657" t="s">
        <v>221</v>
      </c>
      <c r="F20" s="393" t="s">
        <v>599</v>
      </c>
      <c r="G20" s="413" t="s">
        <v>593</v>
      </c>
      <c r="H20" s="390" t="s">
        <v>225</v>
      </c>
      <c r="I20" s="411" t="s">
        <v>5</v>
      </c>
      <c r="J20" s="405">
        <v>102763.86</v>
      </c>
      <c r="K20" s="658">
        <f>61184.68+41579.18+25640.91</f>
        <v>128404.77</v>
      </c>
      <c r="L20" s="659">
        <f>K20</f>
        <v>128404.77</v>
      </c>
      <c r="M20" s="664" t="s">
        <v>789</v>
      </c>
      <c r="N20" s="661">
        <f t="shared" si="0"/>
        <v>25640.910000000003</v>
      </c>
    </row>
    <row r="21" spans="1:14" s="124" customFormat="1" ht="26.4" x14ac:dyDescent="0.25">
      <c r="A21" s="654"/>
      <c r="B21" s="662" t="s">
        <v>596</v>
      </c>
      <c r="C21" s="406" t="s">
        <v>600</v>
      </c>
      <c r="D21" s="386" t="s">
        <v>15</v>
      </c>
      <c r="E21" s="657" t="s">
        <v>221</v>
      </c>
      <c r="F21" s="393" t="s">
        <v>601</v>
      </c>
      <c r="G21" s="413" t="s">
        <v>602</v>
      </c>
      <c r="H21" s="390" t="s">
        <v>225</v>
      </c>
      <c r="I21" s="411" t="s">
        <v>5</v>
      </c>
      <c r="J21" s="405">
        <v>96237.54</v>
      </c>
      <c r="K21" s="658">
        <f>51987.85+27802.96+13636.87+30978.42</f>
        <v>124406.09999999999</v>
      </c>
      <c r="L21" s="659">
        <f>K21</f>
        <v>124406.09999999999</v>
      </c>
      <c r="M21" s="664" t="s">
        <v>339</v>
      </c>
      <c r="N21" s="661">
        <f t="shared" si="0"/>
        <v>28168.559999999998</v>
      </c>
    </row>
    <row r="22" spans="1:14" s="124" customFormat="1" ht="26.4" x14ac:dyDescent="0.25">
      <c r="A22" s="654"/>
      <c r="B22" s="662" t="s">
        <v>602</v>
      </c>
      <c r="C22" s="406" t="s">
        <v>603</v>
      </c>
      <c r="D22" s="386" t="s">
        <v>15</v>
      </c>
      <c r="E22" s="657" t="s">
        <v>221</v>
      </c>
      <c r="F22" s="393" t="s">
        <v>604</v>
      </c>
      <c r="G22" s="413" t="s">
        <v>605</v>
      </c>
      <c r="H22" s="390" t="s">
        <v>225</v>
      </c>
      <c r="I22" s="411" t="s">
        <v>5</v>
      </c>
      <c r="J22" s="405">
        <v>39048.480000000003</v>
      </c>
      <c r="K22" s="658">
        <f>16096.32+16240+794.88+9637.92+5917.28</f>
        <v>48686.399999999994</v>
      </c>
      <c r="L22" s="659">
        <f>K22</f>
        <v>48686.399999999994</v>
      </c>
      <c r="M22" s="664" t="s">
        <v>343</v>
      </c>
      <c r="N22" s="661">
        <f t="shared" si="0"/>
        <v>9637.919999999991</v>
      </c>
    </row>
    <row r="23" spans="1:14" s="129" customFormat="1" ht="39.6" x14ac:dyDescent="0.25">
      <c r="A23" s="583"/>
      <c r="B23" s="575" t="s">
        <v>606</v>
      </c>
      <c r="C23" s="307" t="s">
        <v>607</v>
      </c>
      <c r="D23" s="188" t="s">
        <v>15</v>
      </c>
      <c r="E23" s="320" t="s">
        <v>221</v>
      </c>
      <c r="F23" s="189" t="s">
        <v>608</v>
      </c>
      <c r="G23" s="322" t="s">
        <v>606</v>
      </c>
      <c r="H23" s="190" t="s">
        <v>225</v>
      </c>
      <c r="I23" s="308" t="s">
        <v>5</v>
      </c>
      <c r="J23" s="139">
        <v>7621.55</v>
      </c>
      <c r="K23" s="324">
        <f>3067.81</f>
        <v>3067.81</v>
      </c>
      <c r="L23" s="639">
        <f>3067.81</f>
        <v>3067.81</v>
      </c>
      <c r="M23" s="345" t="s">
        <v>950</v>
      </c>
      <c r="N23" s="427">
        <f t="shared" si="0"/>
        <v>-4553.74</v>
      </c>
    </row>
    <row r="24" spans="1:14" s="124" customFormat="1" ht="26.4" x14ac:dyDescent="0.25">
      <c r="A24" s="654"/>
      <c r="B24" s="662" t="s">
        <v>609</v>
      </c>
      <c r="C24" s="406" t="s">
        <v>610</v>
      </c>
      <c r="D24" s="386" t="s">
        <v>15</v>
      </c>
      <c r="E24" s="657" t="s">
        <v>221</v>
      </c>
      <c r="F24" s="393" t="s">
        <v>611</v>
      </c>
      <c r="G24" s="413" t="s">
        <v>612</v>
      </c>
      <c r="H24" s="390" t="s">
        <v>225</v>
      </c>
      <c r="I24" s="411" t="s">
        <v>5</v>
      </c>
      <c r="J24" s="405">
        <v>18989.189999999999</v>
      </c>
      <c r="K24" s="658">
        <f>9582.86+9406.33+7170.91+814.01</f>
        <v>26974.11</v>
      </c>
      <c r="L24" s="659">
        <f>K24</f>
        <v>26974.11</v>
      </c>
      <c r="M24" s="664" t="s">
        <v>339</v>
      </c>
      <c r="N24" s="661">
        <f t="shared" si="0"/>
        <v>7984.9200000000019</v>
      </c>
    </row>
    <row r="25" spans="1:14" s="124" customFormat="1" ht="26.4" x14ac:dyDescent="0.25">
      <c r="A25" s="654"/>
      <c r="B25" s="662" t="s">
        <v>613</v>
      </c>
      <c r="C25" s="406" t="s">
        <v>614</v>
      </c>
      <c r="D25" s="386" t="s">
        <v>15</v>
      </c>
      <c r="E25" s="665" t="s">
        <v>598</v>
      </c>
      <c r="F25" s="393" t="s">
        <v>615</v>
      </c>
      <c r="G25" s="413" t="s">
        <v>609</v>
      </c>
      <c r="H25" s="390" t="s">
        <v>225</v>
      </c>
      <c r="I25" s="411" t="s">
        <v>5</v>
      </c>
      <c r="J25" s="405">
        <v>9709.4599999999991</v>
      </c>
      <c r="K25" s="658">
        <v>8338.0400000000009</v>
      </c>
      <c r="L25" s="659">
        <f>K25</f>
        <v>8338.0400000000009</v>
      </c>
      <c r="M25" s="664" t="s">
        <v>343</v>
      </c>
      <c r="N25" s="661">
        <f t="shared" si="0"/>
        <v>-1371.4199999999983</v>
      </c>
    </row>
    <row r="26" spans="1:14" s="124" customFormat="1" ht="39.6" x14ac:dyDescent="0.25">
      <c r="A26" s="654"/>
      <c r="B26" s="662" t="s">
        <v>605</v>
      </c>
      <c r="C26" s="406" t="s">
        <v>616</v>
      </c>
      <c r="D26" s="386" t="s">
        <v>15</v>
      </c>
      <c r="E26" s="657" t="s">
        <v>221</v>
      </c>
      <c r="F26" s="393" t="s">
        <v>617</v>
      </c>
      <c r="G26" s="413" t="s">
        <v>613</v>
      </c>
      <c r="H26" s="390" t="s">
        <v>225</v>
      </c>
      <c r="I26" s="411" t="s">
        <v>5</v>
      </c>
      <c r="J26" s="405">
        <v>14373.99</v>
      </c>
      <c r="K26" s="658">
        <f>10000+4093.49</f>
        <v>14093.49</v>
      </c>
      <c r="L26" s="659">
        <f>10000+4093.49</f>
        <v>14093.49</v>
      </c>
      <c r="M26" s="666" t="s">
        <v>341</v>
      </c>
      <c r="N26" s="661">
        <f t="shared" si="0"/>
        <v>-280.5</v>
      </c>
    </row>
    <row r="27" spans="1:14" s="129" customFormat="1" ht="52.8" x14ac:dyDescent="0.25">
      <c r="A27" s="583"/>
      <c r="B27" s="575" t="s">
        <v>618</v>
      </c>
      <c r="C27" s="307" t="s">
        <v>619</v>
      </c>
      <c r="D27" s="188" t="s">
        <v>15</v>
      </c>
      <c r="E27" s="306" t="s">
        <v>4</v>
      </c>
      <c r="F27" s="189" t="s">
        <v>620</v>
      </c>
      <c r="G27" s="306" t="s">
        <v>621</v>
      </c>
      <c r="H27" s="190" t="s">
        <v>225</v>
      </c>
      <c r="I27" s="308" t="s">
        <v>5</v>
      </c>
      <c r="J27" s="139">
        <v>361985.32</v>
      </c>
      <c r="K27" s="324">
        <f>11062.39</f>
        <v>11062.39</v>
      </c>
      <c r="L27" s="639">
        <f>142479.94+K27</f>
        <v>153542.33000000002</v>
      </c>
      <c r="M27" s="345" t="s">
        <v>341</v>
      </c>
      <c r="N27" s="427">
        <f t="shared" si="0"/>
        <v>-208442.99</v>
      </c>
    </row>
    <row r="28" spans="1:14" s="129" customFormat="1" ht="26.4" x14ac:dyDescent="0.25">
      <c r="A28" s="583"/>
      <c r="B28" s="575" t="s">
        <v>612</v>
      </c>
      <c r="C28" s="307" t="s">
        <v>622</v>
      </c>
      <c r="D28" s="188" t="s">
        <v>15</v>
      </c>
      <c r="E28" s="306" t="s">
        <v>4</v>
      </c>
      <c r="F28" s="189" t="s">
        <v>623</v>
      </c>
      <c r="G28" s="322" t="s">
        <v>624</v>
      </c>
      <c r="H28" s="190" t="s">
        <v>225</v>
      </c>
      <c r="I28" s="308" t="s">
        <v>5</v>
      </c>
      <c r="J28" s="139">
        <v>147505.04999999999</v>
      </c>
      <c r="K28" s="324">
        <f>88503.03</f>
        <v>88503.03</v>
      </c>
      <c r="L28" s="639">
        <f>K28</f>
        <v>88503.03</v>
      </c>
      <c r="M28" s="642" t="s">
        <v>790</v>
      </c>
      <c r="N28" s="427">
        <f t="shared" si="0"/>
        <v>-59002.01999999999</v>
      </c>
    </row>
    <row r="29" spans="1:14" s="124" customFormat="1" ht="39.6" x14ac:dyDescent="0.25">
      <c r="A29" s="654"/>
      <c r="B29" s="662" t="s">
        <v>624</v>
      </c>
      <c r="C29" s="406" t="s">
        <v>625</v>
      </c>
      <c r="D29" s="386" t="s">
        <v>15</v>
      </c>
      <c r="E29" s="657" t="s">
        <v>221</v>
      </c>
      <c r="F29" s="393" t="s">
        <v>626</v>
      </c>
      <c r="G29" s="413" t="s">
        <v>627</v>
      </c>
      <c r="H29" s="390" t="s">
        <v>225</v>
      </c>
      <c r="I29" s="411" t="s">
        <v>5</v>
      </c>
      <c r="J29" s="405">
        <v>145574.49</v>
      </c>
      <c r="K29" s="658">
        <f>32027.23+99623.64+4228.58+13919.98</f>
        <v>149799.43</v>
      </c>
      <c r="L29" s="659">
        <f>K29</f>
        <v>149799.43</v>
      </c>
      <c r="M29" s="664" t="s">
        <v>343</v>
      </c>
      <c r="N29" s="661">
        <f t="shared" si="0"/>
        <v>4224.9400000000023</v>
      </c>
    </row>
    <row r="30" spans="1:14" s="124" customFormat="1" ht="26.4" x14ac:dyDescent="0.25">
      <c r="A30" s="654"/>
      <c r="B30" s="662" t="s">
        <v>627</v>
      </c>
      <c r="C30" s="406" t="s">
        <v>628</v>
      </c>
      <c r="D30" s="386" t="s">
        <v>15</v>
      </c>
      <c r="E30" s="657" t="s">
        <v>221</v>
      </c>
      <c r="F30" s="393" t="s">
        <v>629</v>
      </c>
      <c r="G30" s="404" t="s">
        <v>630</v>
      </c>
      <c r="H30" s="390" t="s">
        <v>225</v>
      </c>
      <c r="I30" s="411" t="s">
        <v>5</v>
      </c>
      <c r="J30" s="405">
        <v>13999.19</v>
      </c>
      <c r="K30" s="658">
        <f>13980.46</f>
        <v>13980.46</v>
      </c>
      <c r="L30" s="659">
        <f>K30</f>
        <v>13980.46</v>
      </c>
      <c r="M30" s="666" t="s">
        <v>343</v>
      </c>
      <c r="N30" s="661">
        <f t="shared" si="0"/>
        <v>-18.730000000001382</v>
      </c>
    </row>
    <row r="31" spans="1:14" s="124" customFormat="1" ht="39.6" x14ac:dyDescent="0.25">
      <c r="A31" s="654"/>
      <c r="B31" s="662" t="s">
        <v>630</v>
      </c>
      <c r="C31" s="406" t="s">
        <v>631</v>
      </c>
      <c r="D31" s="386" t="s">
        <v>15</v>
      </c>
      <c r="E31" s="404" t="s">
        <v>580</v>
      </c>
      <c r="F31" s="393" t="s">
        <v>632</v>
      </c>
      <c r="G31" s="404" t="s">
        <v>580</v>
      </c>
      <c r="H31" s="390" t="s">
        <v>225</v>
      </c>
      <c r="I31" s="411" t="s">
        <v>5</v>
      </c>
      <c r="J31" s="405" t="s">
        <v>580</v>
      </c>
      <c r="K31" s="667" t="s">
        <v>580</v>
      </c>
      <c r="L31" s="667" t="s">
        <v>580</v>
      </c>
      <c r="M31" s="409"/>
      <c r="N31" s="661" t="e">
        <f t="shared" si="0"/>
        <v>#VALUE!</v>
      </c>
    </row>
    <row r="32" spans="1:14" s="124" customFormat="1" ht="52.8" x14ac:dyDescent="0.25">
      <c r="A32" s="654"/>
      <c r="B32" s="662" t="s">
        <v>633</v>
      </c>
      <c r="C32" s="406" t="s">
        <v>634</v>
      </c>
      <c r="D32" s="386" t="s">
        <v>15</v>
      </c>
      <c r="E32" s="404" t="s">
        <v>436</v>
      </c>
      <c r="F32" s="393" t="s">
        <v>635</v>
      </c>
      <c r="G32" s="404" t="s">
        <v>436</v>
      </c>
      <c r="H32" s="390" t="s">
        <v>225</v>
      </c>
      <c r="I32" s="411" t="s">
        <v>5</v>
      </c>
      <c r="J32" s="405" t="s">
        <v>436</v>
      </c>
      <c r="K32" s="667" t="s">
        <v>436</v>
      </c>
      <c r="L32" s="667" t="s">
        <v>436</v>
      </c>
      <c r="M32" s="409"/>
      <c r="N32" s="661" t="e">
        <f t="shared" si="0"/>
        <v>#VALUE!</v>
      </c>
    </row>
    <row r="33" spans="1:13" s="348" customFormat="1" ht="24.6" x14ac:dyDescent="0.25">
      <c r="A33" s="582"/>
      <c r="B33" s="573"/>
      <c r="C33" s="939" t="s">
        <v>807</v>
      </c>
      <c r="D33" s="939"/>
      <c r="E33" s="939"/>
      <c r="F33" s="939"/>
      <c r="G33" s="939"/>
      <c r="H33" s="939"/>
      <c r="I33" s="939"/>
      <c r="J33" s="939"/>
      <c r="K33" s="939"/>
      <c r="L33" s="940"/>
    </row>
    <row r="34" spans="1:13" s="124" customFormat="1" ht="39.6" x14ac:dyDescent="0.25">
      <c r="A34" s="654"/>
      <c r="B34" s="662" t="s">
        <v>636</v>
      </c>
      <c r="C34" s="406" t="s">
        <v>637</v>
      </c>
      <c r="D34" s="386" t="s">
        <v>15</v>
      </c>
      <c r="E34" s="668" t="s">
        <v>580</v>
      </c>
      <c r="F34" s="669" t="s">
        <v>638</v>
      </c>
      <c r="G34" s="668" t="s">
        <v>580</v>
      </c>
      <c r="H34" s="390" t="s">
        <v>225</v>
      </c>
      <c r="I34" s="411" t="s">
        <v>5</v>
      </c>
      <c r="J34" s="668" t="s">
        <v>580</v>
      </c>
      <c r="K34" s="668" t="s">
        <v>580</v>
      </c>
      <c r="L34" s="670" t="s">
        <v>580</v>
      </c>
      <c r="M34" s="409"/>
    </row>
    <row r="35" spans="1:13" s="129" customFormat="1" ht="52.8" x14ac:dyDescent="0.25">
      <c r="A35" s="583"/>
      <c r="B35" s="575" t="s">
        <v>639</v>
      </c>
      <c r="C35" s="307" t="s">
        <v>640</v>
      </c>
      <c r="D35" s="188" t="s">
        <v>15</v>
      </c>
      <c r="E35" s="187" t="s">
        <v>221</v>
      </c>
      <c r="F35" s="323" t="s">
        <v>642</v>
      </c>
      <c r="G35" s="322" t="s">
        <v>636</v>
      </c>
      <c r="H35" s="190" t="s">
        <v>225</v>
      </c>
      <c r="I35" s="308" t="s">
        <v>5</v>
      </c>
      <c r="J35" s="189" t="s">
        <v>643</v>
      </c>
      <c r="K35" s="326">
        <f>8262.71</f>
        <v>8262.7099999999991</v>
      </c>
      <c r="L35" s="643">
        <f>K35</f>
        <v>8262.7099999999991</v>
      </c>
      <c r="M35" s="345" t="s">
        <v>343</v>
      </c>
    </row>
    <row r="36" spans="1:13" s="124" customFormat="1" ht="39.6" x14ac:dyDescent="0.25">
      <c r="A36" s="654"/>
      <c r="B36" s="662" t="s">
        <v>645</v>
      </c>
      <c r="C36" s="406" t="s">
        <v>646</v>
      </c>
      <c r="D36" s="386" t="s">
        <v>15</v>
      </c>
      <c r="E36" s="668" t="s">
        <v>580</v>
      </c>
      <c r="F36" s="669" t="s">
        <v>647</v>
      </c>
      <c r="G36" s="668" t="s">
        <v>580</v>
      </c>
      <c r="H36" s="390" t="s">
        <v>225</v>
      </c>
      <c r="I36" s="411" t="s">
        <v>5</v>
      </c>
      <c r="J36" s="668" t="s">
        <v>580</v>
      </c>
      <c r="K36" s="668" t="s">
        <v>580</v>
      </c>
      <c r="L36" s="670" t="s">
        <v>580</v>
      </c>
      <c r="M36" s="664"/>
    </row>
    <row r="37" spans="1:13" s="124" customFormat="1" ht="39.6" x14ac:dyDescent="0.25">
      <c r="A37" s="654"/>
      <c r="B37" s="662" t="s">
        <v>648</v>
      </c>
      <c r="C37" s="406" t="s">
        <v>649</v>
      </c>
      <c r="D37" s="386" t="s">
        <v>15</v>
      </c>
      <c r="E37" s="668" t="s">
        <v>580</v>
      </c>
      <c r="F37" s="669" t="s">
        <v>650</v>
      </c>
      <c r="G37" s="668" t="s">
        <v>580</v>
      </c>
      <c r="H37" s="390" t="s">
        <v>225</v>
      </c>
      <c r="I37" s="411" t="s">
        <v>5</v>
      </c>
      <c r="J37" s="668" t="s">
        <v>580</v>
      </c>
      <c r="K37" s="668" t="s">
        <v>580</v>
      </c>
      <c r="L37" s="670" t="s">
        <v>580</v>
      </c>
      <c r="M37" s="664"/>
    </row>
    <row r="38" spans="1:13" s="124" customFormat="1" ht="39.6" x14ac:dyDescent="0.25">
      <c r="A38" s="654"/>
      <c r="B38" s="662" t="s">
        <v>621</v>
      </c>
      <c r="C38" s="406" t="s">
        <v>651</v>
      </c>
      <c r="D38" s="386" t="s">
        <v>15</v>
      </c>
      <c r="E38" s="668" t="s">
        <v>580</v>
      </c>
      <c r="F38" s="669" t="s">
        <v>652</v>
      </c>
      <c r="G38" s="668" t="s">
        <v>580</v>
      </c>
      <c r="H38" s="390" t="s">
        <v>225</v>
      </c>
      <c r="I38" s="411" t="s">
        <v>5</v>
      </c>
      <c r="J38" s="668" t="s">
        <v>580</v>
      </c>
      <c r="K38" s="668" t="s">
        <v>580</v>
      </c>
      <c r="L38" s="670" t="s">
        <v>580</v>
      </c>
      <c r="M38" s="664"/>
    </row>
    <row r="39" spans="1:13" s="129" customFormat="1" ht="39.6" x14ac:dyDescent="0.25">
      <c r="A39" s="583"/>
      <c r="B39" s="575" t="s">
        <v>653</v>
      </c>
      <c r="C39" s="307" t="s">
        <v>654</v>
      </c>
      <c r="D39" s="188" t="s">
        <v>15</v>
      </c>
      <c r="E39" s="187" t="s">
        <v>641</v>
      </c>
      <c r="F39" s="323" t="s">
        <v>655</v>
      </c>
      <c r="G39" s="322" t="s">
        <v>633</v>
      </c>
      <c r="H39" s="190" t="s">
        <v>225</v>
      </c>
      <c r="I39" s="308" t="s">
        <v>5</v>
      </c>
      <c r="J39" s="189" t="s">
        <v>656</v>
      </c>
      <c r="K39" s="322" t="s">
        <v>644</v>
      </c>
      <c r="L39" s="644" t="s">
        <v>644</v>
      </c>
      <c r="M39" s="642" t="s">
        <v>791</v>
      </c>
    </row>
    <row r="40" spans="1:13" s="124" customFormat="1" ht="39.6" x14ac:dyDescent="0.25">
      <c r="A40" s="654"/>
      <c r="B40" s="662" t="s">
        <v>657</v>
      </c>
      <c r="C40" s="406" t="s">
        <v>658</v>
      </c>
      <c r="D40" s="386" t="s">
        <v>15</v>
      </c>
      <c r="E40" s="668" t="s">
        <v>221</v>
      </c>
      <c r="F40" s="671" t="s">
        <v>659</v>
      </c>
      <c r="G40" s="413" t="s">
        <v>639</v>
      </c>
      <c r="H40" s="390" t="s">
        <v>225</v>
      </c>
      <c r="I40" s="411" t="s">
        <v>5</v>
      </c>
      <c r="J40" s="393" t="s">
        <v>660</v>
      </c>
      <c r="K40" s="672">
        <f>114825.94+78324.45+74726.77+52677.57+30124.2</f>
        <v>350678.93000000005</v>
      </c>
      <c r="L40" s="673" t="s">
        <v>792</v>
      </c>
      <c r="M40" s="664" t="s">
        <v>343</v>
      </c>
    </row>
    <row r="41" spans="1:13" s="124" customFormat="1" ht="39.6" x14ac:dyDescent="0.25">
      <c r="A41" s="654"/>
      <c r="B41" s="662" t="s">
        <v>661</v>
      </c>
      <c r="C41" s="406" t="s">
        <v>662</v>
      </c>
      <c r="D41" s="386" t="s">
        <v>15</v>
      </c>
      <c r="E41" s="668" t="s">
        <v>663</v>
      </c>
      <c r="F41" s="671" t="s">
        <v>664</v>
      </c>
      <c r="G41" s="668" t="s">
        <v>663</v>
      </c>
      <c r="H41" s="390" t="s">
        <v>225</v>
      </c>
      <c r="I41" s="411" t="s">
        <v>5</v>
      </c>
      <c r="J41" s="668" t="s">
        <v>663</v>
      </c>
      <c r="K41" s="668" t="s">
        <v>663</v>
      </c>
      <c r="L41" s="670" t="s">
        <v>663</v>
      </c>
      <c r="M41" s="409"/>
    </row>
    <row r="42" spans="1:13" s="129" customFormat="1" ht="39.6" x14ac:dyDescent="0.25">
      <c r="A42" s="583"/>
      <c r="B42" s="575" t="s">
        <v>665</v>
      </c>
      <c r="C42" s="307" t="s">
        <v>666</v>
      </c>
      <c r="D42" s="188" t="s">
        <v>15</v>
      </c>
      <c r="E42" s="187" t="s">
        <v>641</v>
      </c>
      <c r="F42" s="321" t="s">
        <v>667</v>
      </c>
      <c r="G42" s="322" t="s">
        <v>648</v>
      </c>
      <c r="H42" s="190" t="s">
        <v>225</v>
      </c>
      <c r="I42" s="308" t="s">
        <v>5</v>
      </c>
      <c r="J42" s="322" t="s">
        <v>668</v>
      </c>
      <c r="K42" s="326">
        <f>10394.96+11374.69+11374.69+7923.55+30140.08</f>
        <v>71207.97</v>
      </c>
      <c r="L42" s="643">
        <f>62248.1+30645.2+41181.32+80000+K42</f>
        <v>285282.58999999997</v>
      </c>
      <c r="M42" s="650" t="s">
        <v>948</v>
      </c>
    </row>
    <row r="43" spans="1:13" s="124" customFormat="1" ht="39.6" x14ac:dyDescent="0.25">
      <c r="A43" s="654"/>
      <c r="B43" s="662" t="s">
        <v>669</v>
      </c>
      <c r="C43" s="406" t="s">
        <v>670</v>
      </c>
      <c r="D43" s="386" t="s">
        <v>15</v>
      </c>
      <c r="E43" s="668" t="s">
        <v>793</v>
      </c>
      <c r="F43" s="671" t="s">
        <v>672</v>
      </c>
      <c r="G43" s="668" t="s">
        <v>793</v>
      </c>
      <c r="H43" s="390" t="s">
        <v>225</v>
      </c>
      <c r="I43" s="411" t="s">
        <v>5</v>
      </c>
      <c r="J43" s="668" t="s">
        <v>793</v>
      </c>
      <c r="K43" s="668" t="s">
        <v>793</v>
      </c>
      <c r="L43" s="670" t="s">
        <v>793</v>
      </c>
      <c r="M43" s="409"/>
    </row>
    <row r="44" spans="1:13" s="129" customFormat="1" ht="39.6" x14ac:dyDescent="0.25">
      <c r="A44" s="583"/>
      <c r="B44" s="575" t="s">
        <v>673</v>
      </c>
      <c r="C44" s="307" t="s">
        <v>674</v>
      </c>
      <c r="D44" s="188" t="s">
        <v>15</v>
      </c>
      <c r="E44" s="187" t="s">
        <v>641</v>
      </c>
      <c r="F44" s="323" t="s">
        <v>675</v>
      </c>
      <c r="G44" s="325" t="s">
        <v>684</v>
      </c>
      <c r="H44" s="190" t="s">
        <v>225</v>
      </c>
      <c r="I44" s="308" t="s">
        <v>5</v>
      </c>
      <c r="J44" s="189" t="s">
        <v>794</v>
      </c>
      <c r="K44" s="322" t="s">
        <v>644</v>
      </c>
      <c r="L44" s="644" t="s">
        <v>644</v>
      </c>
      <c r="M44" s="640" t="s">
        <v>337</v>
      </c>
    </row>
    <row r="45" spans="1:13" s="129" customFormat="1" ht="39.6" x14ac:dyDescent="0.25">
      <c r="A45" s="583"/>
      <c r="B45" s="575" t="s">
        <v>676</v>
      </c>
      <c r="C45" s="307" t="s">
        <v>677</v>
      </c>
      <c r="D45" s="188" t="s">
        <v>15</v>
      </c>
      <c r="E45" s="187" t="s">
        <v>598</v>
      </c>
      <c r="F45" s="323" t="s">
        <v>678</v>
      </c>
      <c r="G45" s="306" t="s">
        <v>657</v>
      </c>
      <c r="H45" s="190" t="s">
        <v>225</v>
      </c>
      <c r="I45" s="308" t="s">
        <v>5</v>
      </c>
      <c r="J45" s="189" t="s">
        <v>679</v>
      </c>
      <c r="K45" s="322" t="s">
        <v>644</v>
      </c>
      <c r="L45" s="644" t="s">
        <v>644</v>
      </c>
      <c r="M45" s="641"/>
    </row>
    <row r="46" spans="1:13" s="124" customFormat="1" ht="39.6" x14ac:dyDescent="0.25">
      <c r="A46" s="654"/>
      <c r="B46" s="662" t="s">
        <v>680</v>
      </c>
      <c r="C46" s="406" t="s">
        <v>651</v>
      </c>
      <c r="D46" s="386" t="s">
        <v>15</v>
      </c>
      <c r="E46" s="668" t="s">
        <v>221</v>
      </c>
      <c r="F46" s="669" t="s">
        <v>681</v>
      </c>
      <c r="G46" s="404" t="s">
        <v>682</v>
      </c>
      <c r="H46" s="390" t="s">
        <v>225</v>
      </c>
      <c r="I46" s="411" t="s">
        <v>5</v>
      </c>
      <c r="J46" s="393" t="s">
        <v>683</v>
      </c>
      <c r="K46" s="672">
        <f>17649+12373.57+32381.37</f>
        <v>62403.94</v>
      </c>
      <c r="L46" s="674">
        <f>K46</f>
        <v>62403.94</v>
      </c>
      <c r="M46" s="675" t="s">
        <v>948</v>
      </c>
    </row>
    <row r="47" spans="1:13" s="129" customFormat="1" ht="39.6" x14ac:dyDescent="0.25">
      <c r="A47" s="583"/>
      <c r="B47" s="575" t="s">
        <v>684</v>
      </c>
      <c r="C47" s="307" t="s">
        <v>685</v>
      </c>
      <c r="D47" s="188" t="s">
        <v>15</v>
      </c>
      <c r="E47" s="187" t="s">
        <v>641</v>
      </c>
      <c r="F47" s="321" t="s">
        <v>686</v>
      </c>
      <c r="G47" s="322" t="s">
        <v>665</v>
      </c>
      <c r="H47" s="190" t="s">
        <v>225</v>
      </c>
      <c r="I47" s="308" t="s">
        <v>5</v>
      </c>
      <c r="J47" s="189" t="s">
        <v>687</v>
      </c>
      <c r="K47" s="326">
        <f>23622.38+25411.7+15565.34</f>
        <v>64599.42</v>
      </c>
      <c r="L47" s="643">
        <f>467258.19+K47</f>
        <v>531857.61</v>
      </c>
      <c r="M47" s="640" t="s">
        <v>343</v>
      </c>
    </row>
    <row r="48" spans="1:13" s="124" customFormat="1" ht="39.6" x14ac:dyDescent="0.25">
      <c r="A48" s="654"/>
      <c r="B48" s="662" t="s">
        <v>688</v>
      </c>
      <c r="C48" s="406" t="s">
        <v>689</v>
      </c>
      <c r="D48" s="386" t="s">
        <v>15</v>
      </c>
      <c r="E48" s="676" t="s">
        <v>580</v>
      </c>
      <c r="F48" s="669" t="s">
        <v>690</v>
      </c>
      <c r="G48" s="676" t="s">
        <v>580</v>
      </c>
      <c r="H48" s="390" t="s">
        <v>225</v>
      </c>
      <c r="I48" s="411" t="s">
        <v>5</v>
      </c>
      <c r="J48" s="676" t="s">
        <v>580</v>
      </c>
      <c r="K48" s="676" t="s">
        <v>580</v>
      </c>
      <c r="L48" s="677" t="s">
        <v>580</v>
      </c>
      <c r="M48" s="409"/>
    </row>
    <row r="49" spans="1:13" s="129" customFormat="1" ht="39.6" x14ac:dyDescent="0.25">
      <c r="A49" s="583"/>
      <c r="B49" s="575" t="s">
        <v>691</v>
      </c>
      <c r="C49" s="307" t="s">
        <v>692</v>
      </c>
      <c r="D49" s="188" t="s">
        <v>15</v>
      </c>
      <c r="E49" s="187" t="s">
        <v>641</v>
      </c>
      <c r="F49" s="321" t="s">
        <v>693</v>
      </c>
      <c r="G49" s="322" t="s">
        <v>669</v>
      </c>
      <c r="H49" s="190" t="s">
        <v>225</v>
      </c>
      <c r="I49" s="308" t="s">
        <v>5</v>
      </c>
      <c r="J49" s="189" t="s">
        <v>694</v>
      </c>
      <c r="K49" s="326">
        <f>26268.37+75954.7679417+25115.46+25753.07+14614.33</f>
        <v>167705.99794169998</v>
      </c>
      <c r="L49" s="643">
        <f>7335.76+K49</f>
        <v>175041.75794169999</v>
      </c>
      <c r="M49" s="640" t="s">
        <v>343</v>
      </c>
    </row>
    <row r="50" spans="1:13" s="124" customFormat="1" ht="39.6" x14ac:dyDescent="0.25">
      <c r="A50" s="654"/>
      <c r="B50" s="662" t="s">
        <v>695</v>
      </c>
      <c r="C50" s="406" t="s">
        <v>696</v>
      </c>
      <c r="D50" s="386" t="s">
        <v>15</v>
      </c>
      <c r="E50" s="668" t="s">
        <v>221</v>
      </c>
      <c r="F50" s="669" t="s">
        <v>697</v>
      </c>
      <c r="G50" s="413" t="s">
        <v>661</v>
      </c>
      <c r="H50" s="390" t="s">
        <v>225</v>
      </c>
      <c r="I50" s="391" t="s">
        <v>5</v>
      </c>
      <c r="J50" s="392">
        <v>41595.72</v>
      </c>
      <c r="K50" s="672">
        <f>10045.74+10381.25</f>
        <v>20426.989999999998</v>
      </c>
      <c r="L50" s="674">
        <f>31066.25+K50</f>
        <v>51493.24</v>
      </c>
      <c r="M50" s="660" t="s">
        <v>791</v>
      </c>
    </row>
    <row r="51" spans="1:13" s="124" customFormat="1" ht="40.799999999999997" x14ac:dyDescent="0.25">
      <c r="A51" s="654"/>
      <c r="B51" s="662" t="s">
        <v>698</v>
      </c>
      <c r="C51" s="406" t="s">
        <v>699</v>
      </c>
      <c r="D51" s="386" t="s">
        <v>15</v>
      </c>
      <c r="E51" s="668" t="s">
        <v>671</v>
      </c>
      <c r="F51" s="671" t="s">
        <v>700</v>
      </c>
      <c r="G51" s="668" t="s">
        <v>671</v>
      </c>
      <c r="H51" s="390" t="s">
        <v>225</v>
      </c>
      <c r="I51" s="411" t="s">
        <v>5</v>
      </c>
      <c r="J51" s="668" t="s">
        <v>671</v>
      </c>
      <c r="K51" s="668" t="s">
        <v>671</v>
      </c>
      <c r="L51" s="670" t="s">
        <v>671</v>
      </c>
      <c r="M51" s="409"/>
    </row>
    <row r="52" spans="1:13" s="124" customFormat="1" ht="39.6" x14ac:dyDescent="0.25">
      <c r="A52" s="654"/>
      <c r="B52" s="662" t="s">
        <v>701</v>
      </c>
      <c r="C52" s="406" t="s">
        <v>649</v>
      </c>
      <c r="D52" s="386" t="s">
        <v>15</v>
      </c>
      <c r="E52" s="676" t="s">
        <v>580</v>
      </c>
      <c r="F52" s="669" t="s">
        <v>650</v>
      </c>
      <c r="G52" s="676" t="s">
        <v>580</v>
      </c>
      <c r="H52" s="390" t="s">
        <v>225</v>
      </c>
      <c r="I52" s="411" t="s">
        <v>5</v>
      </c>
      <c r="J52" s="676" t="s">
        <v>580</v>
      </c>
      <c r="K52" s="676" t="s">
        <v>580</v>
      </c>
      <c r="L52" s="677" t="s">
        <v>580</v>
      </c>
      <c r="M52" s="409"/>
    </row>
    <row r="53" spans="1:13" s="129" customFormat="1" ht="39.6" x14ac:dyDescent="0.25">
      <c r="A53" s="583"/>
      <c r="B53" s="575" t="s">
        <v>702</v>
      </c>
      <c r="C53" s="307" t="s">
        <v>703</v>
      </c>
      <c r="D53" s="188" t="s">
        <v>15</v>
      </c>
      <c r="E53" s="187" t="s">
        <v>641</v>
      </c>
      <c r="F53" s="323" t="s">
        <v>704</v>
      </c>
      <c r="G53" s="322" t="s">
        <v>673</v>
      </c>
      <c r="H53" s="190" t="s">
        <v>225</v>
      </c>
      <c r="I53" s="308" t="s">
        <v>5</v>
      </c>
      <c r="J53" s="326">
        <v>67408.289999999994</v>
      </c>
      <c r="K53" s="326">
        <f>16650.02+7179.26</f>
        <v>23829.279999999999</v>
      </c>
      <c r="L53" s="643">
        <f>23829.28</f>
        <v>23829.279999999999</v>
      </c>
      <c r="M53" s="640" t="s">
        <v>795</v>
      </c>
    </row>
    <row r="54" spans="1:13" s="124" customFormat="1" ht="39.6" x14ac:dyDescent="0.25">
      <c r="A54" s="654"/>
      <c r="B54" s="662" t="s">
        <v>705</v>
      </c>
      <c r="C54" s="406" t="s">
        <v>706</v>
      </c>
      <c r="D54" s="386" t="s">
        <v>15</v>
      </c>
      <c r="E54" s="668" t="s">
        <v>221</v>
      </c>
      <c r="F54" s="669" t="s">
        <v>707</v>
      </c>
      <c r="G54" s="413" t="s">
        <v>676</v>
      </c>
      <c r="H54" s="390" t="s">
        <v>225</v>
      </c>
      <c r="I54" s="411" t="s">
        <v>5</v>
      </c>
      <c r="J54" s="672">
        <v>147827.35999999999</v>
      </c>
      <c r="K54" s="672">
        <f>50357.64</f>
        <v>50357.64</v>
      </c>
      <c r="L54" s="674">
        <f>94074.76+K54</f>
        <v>144432.4</v>
      </c>
      <c r="M54" s="660" t="s">
        <v>334</v>
      </c>
    </row>
    <row r="55" spans="1:13" s="124" customFormat="1" ht="39.6" x14ac:dyDescent="0.3">
      <c r="A55" s="678"/>
      <c r="B55" s="662" t="s">
        <v>708</v>
      </c>
      <c r="C55" s="406" t="s">
        <v>709</v>
      </c>
      <c r="D55" s="386" t="s">
        <v>15</v>
      </c>
      <c r="E55" s="668" t="s">
        <v>221</v>
      </c>
      <c r="F55" s="671" t="s">
        <v>710</v>
      </c>
      <c r="G55" s="413" t="s">
        <v>711</v>
      </c>
      <c r="H55" s="390" t="s">
        <v>225</v>
      </c>
      <c r="I55" s="411" t="s">
        <v>397</v>
      </c>
      <c r="J55" s="413" t="s">
        <v>800</v>
      </c>
      <c r="K55" s="413" t="s">
        <v>861</v>
      </c>
      <c r="L55" s="673" t="s">
        <v>861</v>
      </c>
      <c r="M55" s="660" t="s">
        <v>339</v>
      </c>
    </row>
    <row r="56" spans="1:13" s="124" customFormat="1" ht="52.8" x14ac:dyDescent="0.25">
      <c r="A56" s="654"/>
      <c r="B56" s="662" t="s">
        <v>712</v>
      </c>
      <c r="C56" s="406" t="s">
        <v>713</v>
      </c>
      <c r="D56" s="386" t="s">
        <v>15</v>
      </c>
      <c r="E56" s="676" t="s">
        <v>580</v>
      </c>
      <c r="F56" s="669" t="s">
        <v>714</v>
      </c>
      <c r="G56" s="668" t="s">
        <v>580</v>
      </c>
      <c r="H56" s="390" t="s">
        <v>225</v>
      </c>
      <c r="I56" s="411" t="s">
        <v>5</v>
      </c>
      <c r="J56" s="676" t="s">
        <v>580</v>
      </c>
      <c r="K56" s="676" t="s">
        <v>580</v>
      </c>
      <c r="L56" s="677" t="s">
        <v>580</v>
      </c>
      <c r="M56" s="409"/>
    </row>
    <row r="57" spans="1:13" s="348" customFormat="1" ht="24.6" x14ac:dyDescent="0.25">
      <c r="A57" s="582"/>
      <c r="B57" s="573"/>
      <c r="C57" s="939" t="s">
        <v>808</v>
      </c>
      <c r="D57" s="939"/>
      <c r="E57" s="939"/>
      <c r="F57" s="939"/>
      <c r="G57" s="939"/>
      <c r="H57" s="939"/>
      <c r="I57" s="939"/>
      <c r="J57" s="939"/>
      <c r="K57" s="939"/>
      <c r="L57" s="940"/>
    </row>
    <row r="58" spans="1:13" s="124" customFormat="1" ht="41.4" x14ac:dyDescent="0.25">
      <c r="A58" s="654"/>
      <c r="B58" s="679" t="s">
        <v>727</v>
      </c>
      <c r="C58" s="406" t="s">
        <v>715</v>
      </c>
      <c r="D58" s="386" t="s">
        <v>15</v>
      </c>
      <c r="E58" s="668" t="s">
        <v>221</v>
      </c>
      <c r="F58" s="669" t="s">
        <v>716</v>
      </c>
      <c r="G58" s="413" t="s">
        <v>680</v>
      </c>
      <c r="H58" s="390" t="s">
        <v>225</v>
      </c>
      <c r="I58" s="411" t="s">
        <v>5</v>
      </c>
      <c r="J58" s="672">
        <v>3000</v>
      </c>
      <c r="K58" s="672">
        <v>3000</v>
      </c>
      <c r="L58" s="674">
        <v>3000</v>
      </c>
      <c r="M58" s="409" t="s">
        <v>949</v>
      </c>
    </row>
    <row r="59" spans="1:13" s="129" customFormat="1" ht="39.6" x14ac:dyDescent="0.25">
      <c r="A59" s="583"/>
      <c r="B59" s="576" t="s">
        <v>753</v>
      </c>
      <c r="C59" s="307" t="s">
        <v>717</v>
      </c>
      <c r="D59" s="188" t="s">
        <v>15</v>
      </c>
      <c r="E59" s="187" t="s">
        <v>221</v>
      </c>
      <c r="F59" s="323" t="s">
        <v>718</v>
      </c>
      <c r="G59" s="322" t="s">
        <v>701</v>
      </c>
      <c r="H59" s="190" t="s">
        <v>225</v>
      </c>
      <c r="I59" s="308" t="s">
        <v>5</v>
      </c>
      <c r="J59" s="326">
        <v>95983.15</v>
      </c>
      <c r="K59" s="326">
        <v>0</v>
      </c>
      <c r="L59" s="643">
        <v>0</v>
      </c>
      <c r="M59" s="641" t="s">
        <v>334</v>
      </c>
    </row>
    <row r="60" spans="1:13" s="124" customFormat="1" ht="39.6" x14ac:dyDescent="0.25">
      <c r="A60" s="654"/>
      <c r="B60" s="679" t="s">
        <v>745</v>
      </c>
      <c r="C60" s="406" t="s">
        <v>719</v>
      </c>
      <c r="D60" s="386" t="s">
        <v>15</v>
      </c>
      <c r="E60" s="668" t="s">
        <v>221</v>
      </c>
      <c r="F60" s="669" t="s">
        <v>720</v>
      </c>
      <c r="G60" s="413" t="s">
        <v>688</v>
      </c>
      <c r="H60" s="390" t="s">
        <v>225</v>
      </c>
      <c r="I60" s="411" t="s">
        <v>5</v>
      </c>
      <c r="J60" s="672">
        <v>54727.8</v>
      </c>
      <c r="K60" s="672">
        <f>13640</f>
        <v>13640</v>
      </c>
      <c r="L60" s="674">
        <f>54607.4+K60</f>
        <v>68247.399999999994</v>
      </c>
      <c r="M60" s="409" t="s">
        <v>774</v>
      </c>
    </row>
    <row r="61" spans="1:13" s="124" customFormat="1" ht="39.6" x14ac:dyDescent="0.25">
      <c r="A61" s="654"/>
      <c r="B61" s="679" t="s">
        <v>750</v>
      </c>
      <c r="C61" s="406" t="s">
        <v>721</v>
      </c>
      <c r="D61" s="386" t="s">
        <v>15</v>
      </c>
      <c r="E61" s="668" t="s">
        <v>221</v>
      </c>
      <c r="F61" s="671" t="s">
        <v>722</v>
      </c>
      <c r="G61" s="666" t="s">
        <v>691</v>
      </c>
      <c r="H61" s="390" t="s">
        <v>225</v>
      </c>
      <c r="I61" s="411" t="s">
        <v>5</v>
      </c>
      <c r="J61" s="672">
        <v>14532</v>
      </c>
      <c r="K61" s="672">
        <v>14532</v>
      </c>
      <c r="L61" s="674">
        <v>14532</v>
      </c>
      <c r="M61" s="660" t="s">
        <v>774</v>
      </c>
    </row>
    <row r="62" spans="1:13" s="124" customFormat="1" ht="30.75" customHeight="1" x14ac:dyDescent="0.25">
      <c r="A62" s="654"/>
      <c r="B62" s="679" t="s">
        <v>759</v>
      </c>
      <c r="C62" s="406" t="s">
        <v>723</v>
      </c>
      <c r="D62" s="386" t="s">
        <v>15</v>
      </c>
      <c r="E62" s="668" t="s">
        <v>221</v>
      </c>
      <c r="F62" s="671" t="s">
        <v>724</v>
      </c>
      <c r="G62" s="666" t="s">
        <v>691</v>
      </c>
      <c r="H62" s="390" t="s">
        <v>225</v>
      </c>
      <c r="I62" s="411" t="s">
        <v>5</v>
      </c>
      <c r="J62" s="672">
        <v>14620.5</v>
      </c>
      <c r="K62" s="672">
        <f>14620.5</f>
        <v>14620.5</v>
      </c>
      <c r="L62" s="674">
        <f>14620.5</f>
        <v>14620.5</v>
      </c>
      <c r="M62" s="660" t="s">
        <v>339</v>
      </c>
    </row>
    <row r="63" spans="1:13" s="129" customFormat="1" ht="39.6" x14ac:dyDescent="0.25">
      <c r="A63" s="583"/>
      <c r="B63" s="576" t="s">
        <v>762</v>
      </c>
      <c r="C63" s="307" t="s">
        <v>725</v>
      </c>
      <c r="D63" s="188" t="s">
        <v>15</v>
      </c>
      <c r="E63" s="187" t="s">
        <v>4</v>
      </c>
      <c r="F63" s="321" t="s">
        <v>726</v>
      </c>
      <c r="G63" s="345" t="s">
        <v>727</v>
      </c>
      <c r="H63" s="190" t="s">
        <v>225</v>
      </c>
      <c r="I63" s="308" t="s">
        <v>5</v>
      </c>
      <c r="J63" s="326">
        <v>1013999.14</v>
      </c>
      <c r="K63" s="326">
        <f>59767.85+30479.14+26666.82+33000+45646.29+10317.31+18084.85</f>
        <v>223962.26</v>
      </c>
      <c r="L63" s="643">
        <f>35903.16+K63</f>
        <v>259865.42</v>
      </c>
      <c r="M63" s="640" t="s">
        <v>343</v>
      </c>
    </row>
    <row r="64" spans="1:13" s="124" customFormat="1" ht="39.6" x14ac:dyDescent="0.25">
      <c r="A64" s="654"/>
      <c r="B64" s="679" t="s">
        <v>740</v>
      </c>
      <c r="C64" s="406" t="s">
        <v>728</v>
      </c>
      <c r="D64" s="386" t="s">
        <v>15</v>
      </c>
      <c r="E64" s="668" t="s">
        <v>221</v>
      </c>
      <c r="F64" s="671" t="s">
        <v>729</v>
      </c>
      <c r="G64" s="666" t="s">
        <v>698</v>
      </c>
      <c r="H64" s="390" t="s">
        <v>225</v>
      </c>
      <c r="I64" s="411" t="s">
        <v>5</v>
      </c>
      <c r="J64" s="672">
        <v>13990.9</v>
      </c>
      <c r="K64" s="672">
        <f>13977.55</f>
        <v>13977.55</v>
      </c>
      <c r="L64" s="674">
        <f>13977.55</f>
        <v>13977.55</v>
      </c>
      <c r="M64" s="666" t="s">
        <v>334</v>
      </c>
    </row>
    <row r="65" spans="1:13" s="124" customFormat="1" ht="31.5" customHeight="1" x14ac:dyDescent="0.25">
      <c r="A65" s="654"/>
      <c r="B65" s="679" t="s">
        <v>768</v>
      </c>
      <c r="C65" s="406" t="s">
        <v>730</v>
      </c>
      <c r="D65" s="386" t="s">
        <v>15</v>
      </c>
      <c r="E65" s="668" t="s">
        <v>221</v>
      </c>
      <c r="F65" s="671" t="s">
        <v>731</v>
      </c>
      <c r="G65" s="666" t="s">
        <v>702</v>
      </c>
      <c r="H65" s="390" t="s">
        <v>225</v>
      </c>
      <c r="I65" s="411" t="s">
        <v>5</v>
      </c>
      <c r="J65" s="672">
        <v>13886.36</v>
      </c>
      <c r="K65" s="672">
        <v>13886.36</v>
      </c>
      <c r="L65" s="674">
        <f>K65</f>
        <v>13886.36</v>
      </c>
      <c r="M65" s="666" t="s">
        <v>774</v>
      </c>
    </row>
    <row r="66" spans="1:13" s="124" customFormat="1" ht="40.799999999999997" x14ac:dyDescent="0.25">
      <c r="A66" s="654"/>
      <c r="B66" s="679" t="s">
        <v>756</v>
      </c>
      <c r="C66" s="406" t="s">
        <v>732</v>
      </c>
      <c r="D66" s="386" t="s">
        <v>15</v>
      </c>
      <c r="E66" s="668" t="s">
        <v>671</v>
      </c>
      <c r="F66" s="666" t="s">
        <v>733</v>
      </c>
      <c r="G66" s="668" t="s">
        <v>671</v>
      </c>
      <c r="H66" s="390" t="s">
        <v>225</v>
      </c>
      <c r="I66" s="411" t="s">
        <v>5</v>
      </c>
      <c r="J66" s="668" t="s">
        <v>671</v>
      </c>
      <c r="K66" s="668" t="s">
        <v>671</v>
      </c>
      <c r="L66" s="670" t="s">
        <v>671</v>
      </c>
      <c r="M66" s="409"/>
    </row>
    <row r="67" spans="1:13" s="124" customFormat="1" ht="30.6" x14ac:dyDescent="0.25">
      <c r="A67" s="654"/>
      <c r="B67" s="679" t="s">
        <v>771</v>
      </c>
      <c r="C67" s="406" t="s">
        <v>734</v>
      </c>
      <c r="D67" s="386" t="s">
        <v>15</v>
      </c>
      <c r="E67" s="668" t="s">
        <v>436</v>
      </c>
      <c r="F67" s="666" t="s">
        <v>735</v>
      </c>
      <c r="G67" s="668" t="s">
        <v>436</v>
      </c>
      <c r="H67" s="390" t="s">
        <v>225</v>
      </c>
      <c r="I67" s="411" t="s">
        <v>5</v>
      </c>
      <c r="J67" s="668" t="s">
        <v>436</v>
      </c>
      <c r="K67" s="668" t="s">
        <v>436</v>
      </c>
      <c r="L67" s="670" t="s">
        <v>436</v>
      </c>
      <c r="M67" s="409"/>
    </row>
    <row r="68" spans="1:13" s="124" customFormat="1" ht="39.6" x14ac:dyDescent="0.25">
      <c r="A68" s="654"/>
      <c r="B68" s="679" t="s">
        <v>775</v>
      </c>
      <c r="C68" s="406" t="s">
        <v>736</v>
      </c>
      <c r="D68" s="386" t="s">
        <v>15</v>
      </c>
      <c r="E68" s="668" t="s">
        <v>221</v>
      </c>
      <c r="F68" s="669" t="s">
        <v>737</v>
      </c>
      <c r="G68" s="666" t="s">
        <v>705</v>
      </c>
      <c r="H68" s="390" t="s">
        <v>225</v>
      </c>
      <c r="I68" s="411" t="s">
        <v>5</v>
      </c>
      <c r="J68" s="672">
        <v>57116.67</v>
      </c>
      <c r="K68" s="672">
        <f>12143+12143.11</f>
        <v>24286.11</v>
      </c>
      <c r="L68" s="674">
        <f>30000+K68</f>
        <v>54286.11</v>
      </c>
      <c r="M68" s="666" t="s">
        <v>796</v>
      </c>
    </row>
    <row r="69" spans="1:13" s="129" customFormat="1" ht="39.6" x14ac:dyDescent="0.25">
      <c r="A69" s="583"/>
      <c r="B69" s="576" t="s">
        <v>776</v>
      </c>
      <c r="C69" s="307" t="s">
        <v>738</v>
      </c>
      <c r="D69" s="188" t="s">
        <v>15</v>
      </c>
      <c r="E69" s="187" t="s">
        <v>598</v>
      </c>
      <c r="F69" s="321" t="s">
        <v>739</v>
      </c>
      <c r="G69" s="345" t="s">
        <v>740</v>
      </c>
      <c r="H69" s="190" t="s">
        <v>225</v>
      </c>
      <c r="I69" s="308" t="s">
        <v>5</v>
      </c>
      <c r="J69" s="326">
        <v>418517.68</v>
      </c>
      <c r="K69" s="326">
        <v>0</v>
      </c>
      <c r="L69" s="643">
        <v>0</v>
      </c>
      <c r="M69" s="345" t="s">
        <v>797</v>
      </c>
    </row>
    <row r="70" spans="1:13" s="124" customFormat="1" ht="39.6" x14ac:dyDescent="0.25">
      <c r="A70" s="654"/>
      <c r="B70" s="679" t="s">
        <v>777</v>
      </c>
      <c r="C70" s="406" t="s">
        <v>741</v>
      </c>
      <c r="D70" s="386" t="s">
        <v>15</v>
      </c>
      <c r="E70" s="668" t="s">
        <v>221</v>
      </c>
      <c r="F70" s="669" t="s">
        <v>742</v>
      </c>
      <c r="G70" s="666" t="s">
        <v>712</v>
      </c>
      <c r="H70" s="390" t="s">
        <v>225</v>
      </c>
      <c r="I70" s="411" t="s">
        <v>5</v>
      </c>
      <c r="J70" s="672">
        <v>147101.94</v>
      </c>
      <c r="K70" s="672">
        <f>14940.48+21941.96</f>
        <v>36882.44</v>
      </c>
      <c r="L70" s="674">
        <f>109650.49+K70</f>
        <v>146532.93</v>
      </c>
      <c r="M70" s="666" t="s">
        <v>774</v>
      </c>
    </row>
    <row r="71" spans="1:13" s="124" customFormat="1" ht="39.6" x14ac:dyDescent="0.25">
      <c r="A71" s="654"/>
      <c r="B71" s="679" t="s">
        <v>778</v>
      </c>
      <c r="C71" s="406" t="s">
        <v>743</v>
      </c>
      <c r="D71" s="386" t="s">
        <v>15</v>
      </c>
      <c r="E71" s="668" t="s">
        <v>221</v>
      </c>
      <c r="F71" s="669" t="s">
        <v>744</v>
      </c>
      <c r="G71" s="666" t="s">
        <v>745</v>
      </c>
      <c r="H71" s="390" t="s">
        <v>225</v>
      </c>
      <c r="I71" s="411" t="s">
        <v>5</v>
      </c>
      <c r="J71" s="672">
        <v>35556.089999999997</v>
      </c>
      <c r="K71" s="672">
        <f>20900.88+8852.23</f>
        <v>29753.11</v>
      </c>
      <c r="L71" s="674">
        <f>14655.21+K71</f>
        <v>44408.32</v>
      </c>
      <c r="M71" s="666" t="s">
        <v>791</v>
      </c>
    </row>
    <row r="72" spans="1:13" s="124" customFormat="1" ht="39.6" x14ac:dyDescent="0.25">
      <c r="A72" s="654"/>
      <c r="B72" s="679" t="s">
        <v>779</v>
      </c>
      <c r="C72" s="406" t="s">
        <v>746</v>
      </c>
      <c r="D72" s="386" t="s">
        <v>15</v>
      </c>
      <c r="E72" s="668" t="s">
        <v>598</v>
      </c>
      <c r="F72" s="669" t="s">
        <v>747</v>
      </c>
      <c r="G72" s="668" t="s">
        <v>798</v>
      </c>
      <c r="H72" s="390" t="s">
        <v>225</v>
      </c>
      <c r="I72" s="411" t="s">
        <v>5</v>
      </c>
      <c r="J72" s="668" t="s">
        <v>798</v>
      </c>
      <c r="K72" s="668" t="s">
        <v>798</v>
      </c>
      <c r="L72" s="670" t="s">
        <v>798</v>
      </c>
      <c r="M72" s="664"/>
    </row>
    <row r="73" spans="1:13" s="129" customFormat="1" ht="39.6" x14ac:dyDescent="0.25">
      <c r="A73" s="583"/>
      <c r="B73" s="576" t="s">
        <v>780</v>
      </c>
      <c r="C73" s="307" t="s">
        <v>748</v>
      </c>
      <c r="D73" s="188" t="s">
        <v>15</v>
      </c>
      <c r="E73" s="187" t="s">
        <v>221</v>
      </c>
      <c r="F73" s="323" t="s">
        <v>749</v>
      </c>
      <c r="G73" s="345" t="s">
        <v>750</v>
      </c>
      <c r="H73" s="190" t="s">
        <v>225</v>
      </c>
      <c r="I73" s="308" t="s">
        <v>5</v>
      </c>
      <c r="J73" s="326">
        <v>63233.56</v>
      </c>
      <c r="K73" s="326">
        <f>13419.76+18279.77+10000+4670.51+12898.95+2155.09</f>
        <v>61424.08</v>
      </c>
      <c r="L73" s="643">
        <f>13831.45+18061.9+K73</f>
        <v>93317.430000000008</v>
      </c>
      <c r="M73" s="642" t="s">
        <v>774</v>
      </c>
    </row>
    <row r="74" spans="1:13" s="124" customFormat="1" ht="39.6" x14ac:dyDescent="0.25">
      <c r="A74" s="654"/>
      <c r="B74" s="679" t="s">
        <v>781</v>
      </c>
      <c r="C74" s="406" t="s">
        <v>751</v>
      </c>
      <c r="D74" s="386" t="s">
        <v>15</v>
      </c>
      <c r="E74" s="668" t="s">
        <v>221</v>
      </c>
      <c r="F74" s="671" t="s">
        <v>752</v>
      </c>
      <c r="G74" s="666" t="s">
        <v>753</v>
      </c>
      <c r="H74" s="390" t="s">
        <v>225</v>
      </c>
      <c r="I74" s="411" t="s">
        <v>5</v>
      </c>
      <c r="J74" s="672">
        <v>13994.75</v>
      </c>
      <c r="K74" s="672">
        <f>13569.75</f>
        <v>13569.75</v>
      </c>
      <c r="L74" s="674">
        <f>13569.75</f>
        <v>13569.75</v>
      </c>
      <c r="M74" s="666" t="s">
        <v>334</v>
      </c>
    </row>
    <row r="75" spans="1:13" s="124" customFormat="1" ht="39.6" x14ac:dyDescent="0.25">
      <c r="A75" s="654"/>
      <c r="B75" s="679" t="s">
        <v>782</v>
      </c>
      <c r="C75" s="406" t="s">
        <v>754</v>
      </c>
      <c r="D75" s="386" t="s">
        <v>15</v>
      </c>
      <c r="E75" s="668" t="s">
        <v>801</v>
      </c>
      <c r="F75" s="671" t="s">
        <v>755</v>
      </c>
      <c r="G75" s="666" t="s">
        <v>756</v>
      </c>
      <c r="H75" s="390" t="s">
        <v>225</v>
      </c>
      <c r="I75" s="411" t="s">
        <v>5</v>
      </c>
      <c r="J75" s="668" t="s">
        <v>801</v>
      </c>
      <c r="K75" s="668" t="s">
        <v>801</v>
      </c>
      <c r="L75" s="670" t="s">
        <v>801</v>
      </c>
      <c r="M75" s="664"/>
    </row>
    <row r="76" spans="1:13" s="124" customFormat="1" ht="26.4" x14ac:dyDescent="0.25">
      <c r="A76" s="654"/>
      <c r="B76" s="679" t="s">
        <v>783</v>
      </c>
      <c r="C76" s="406" t="s">
        <v>757</v>
      </c>
      <c r="D76" s="386" t="s">
        <v>15</v>
      </c>
      <c r="E76" s="668" t="s">
        <v>221</v>
      </c>
      <c r="F76" s="671" t="s">
        <v>758</v>
      </c>
      <c r="G76" s="666" t="s">
        <v>759</v>
      </c>
      <c r="H76" s="390" t="s">
        <v>225</v>
      </c>
      <c r="I76" s="411" t="s">
        <v>5</v>
      </c>
      <c r="J76" s="672">
        <v>14263.92</v>
      </c>
      <c r="K76" s="672">
        <f>14263.92</f>
        <v>14263.92</v>
      </c>
      <c r="L76" s="674">
        <f>K76</f>
        <v>14263.92</v>
      </c>
      <c r="M76" s="666" t="s">
        <v>774</v>
      </c>
    </row>
    <row r="77" spans="1:13" s="124" customFormat="1" ht="35.25" customHeight="1" x14ac:dyDescent="0.25">
      <c r="A77" s="654"/>
      <c r="B77" s="679" t="s">
        <v>784</v>
      </c>
      <c r="C77" s="406" t="s">
        <v>760</v>
      </c>
      <c r="D77" s="386" t="s">
        <v>15</v>
      </c>
      <c r="E77" s="668" t="s">
        <v>221</v>
      </c>
      <c r="F77" s="671" t="s">
        <v>761</v>
      </c>
      <c r="G77" s="666" t="s">
        <v>762</v>
      </c>
      <c r="H77" s="390" t="s">
        <v>225</v>
      </c>
      <c r="I77" s="411" t="s">
        <v>5</v>
      </c>
      <c r="J77" s="672">
        <v>14377.71</v>
      </c>
      <c r="K77" s="672">
        <f>10576.71</f>
        <v>10576.71</v>
      </c>
      <c r="L77" s="674">
        <f>3936.52+K77</f>
        <v>14513.23</v>
      </c>
      <c r="M77" s="666" t="s">
        <v>774</v>
      </c>
    </row>
    <row r="78" spans="1:13" s="124" customFormat="1" ht="39.6" x14ac:dyDescent="0.25">
      <c r="A78" s="654"/>
      <c r="B78" s="679" t="s">
        <v>785</v>
      </c>
      <c r="C78" s="406" t="s">
        <v>802</v>
      </c>
      <c r="D78" s="386" t="s">
        <v>15</v>
      </c>
      <c r="E78" s="668" t="s">
        <v>799</v>
      </c>
      <c r="F78" s="669" t="s">
        <v>763</v>
      </c>
      <c r="G78" s="666" t="s">
        <v>750</v>
      </c>
      <c r="H78" s="390" t="s">
        <v>225</v>
      </c>
      <c r="I78" s="411" t="s">
        <v>5</v>
      </c>
      <c r="J78" s="668" t="s">
        <v>799</v>
      </c>
      <c r="K78" s="668" t="s">
        <v>799</v>
      </c>
      <c r="L78" s="670" t="s">
        <v>799</v>
      </c>
      <c r="M78" s="664"/>
    </row>
    <row r="79" spans="1:13" s="129" customFormat="1" ht="40.799999999999997" x14ac:dyDescent="0.25">
      <c r="A79" s="583"/>
      <c r="B79" s="576" t="s">
        <v>786</v>
      </c>
      <c r="C79" s="307" t="s">
        <v>764</v>
      </c>
      <c r="D79" s="188" t="s">
        <v>15</v>
      </c>
      <c r="E79" s="187" t="s">
        <v>4</v>
      </c>
      <c r="F79" s="321" t="s">
        <v>765</v>
      </c>
      <c r="G79" s="187" t="s">
        <v>671</v>
      </c>
      <c r="H79" s="190" t="s">
        <v>225</v>
      </c>
      <c r="I79" s="308" t="s">
        <v>5</v>
      </c>
      <c r="J79" s="326">
        <v>131363.99</v>
      </c>
      <c r="K79" s="326">
        <f>8482.58</f>
        <v>8482.58</v>
      </c>
      <c r="L79" s="643">
        <f>K79</f>
        <v>8482.58</v>
      </c>
      <c r="M79" s="345" t="s">
        <v>791</v>
      </c>
    </row>
    <row r="80" spans="1:13" s="124" customFormat="1" ht="35.25" customHeight="1" x14ac:dyDescent="0.25">
      <c r="A80" s="654"/>
      <c r="B80" s="679" t="s">
        <v>787</v>
      </c>
      <c r="C80" s="406" t="s">
        <v>766</v>
      </c>
      <c r="D80" s="386" t="s">
        <v>15</v>
      </c>
      <c r="E80" s="668" t="s">
        <v>221</v>
      </c>
      <c r="F80" s="671" t="s">
        <v>767</v>
      </c>
      <c r="G80" s="666" t="s">
        <v>768</v>
      </c>
      <c r="H80" s="390" t="s">
        <v>225</v>
      </c>
      <c r="I80" s="411" t="s">
        <v>5</v>
      </c>
      <c r="J80" s="672">
        <v>13779.08</v>
      </c>
      <c r="K80" s="672">
        <f>13583.18</f>
        <v>13583.18</v>
      </c>
      <c r="L80" s="674">
        <f>K80</f>
        <v>13583.18</v>
      </c>
      <c r="M80" s="666" t="s">
        <v>791</v>
      </c>
    </row>
    <row r="81" spans="1:13" s="124" customFormat="1" ht="39.6" x14ac:dyDescent="0.25">
      <c r="A81" s="654"/>
      <c r="B81" s="679" t="s">
        <v>788</v>
      </c>
      <c r="C81" s="406" t="s">
        <v>769</v>
      </c>
      <c r="D81" s="386" t="s">
        <v>15</v>
      </c>
      <c r="E81" s="668" t="s">
        <v>221</v>
      </c>
      <c r="F81" s="680" t="s">
        <v>770</v>
      </c>
      <c r="G81" s="666" t="s">
        <v>771</v>
      </c>
      <c r="H81" s="390" t="s">
        <v>225</v>
      </c>
      <c r="I81" s="411" t="s">
        <v>5</v>
      </c>
      <c r="J81" s="672">
        <v>13994.8</v>
      </c>
      <c r="K81" s="672">
        <f>12229.83</f>
        <v>12229.83</v>
      </c>
      <c r="L81" s="674">
        <f>K81</f>
        <v>12229.83</v>
      </c>
      <c r="M81" s="666" t="s">
        <v>791</v>
      </c>
    </row>
    <row r="82" spans="1:13" s="348" customFormat="1" ht="24.6" x14ac:dyDescent="0.25">
      <c r="A82" s="582"/>
      <c r="B82" s="573"/>
      <c r="C82" s="939" t="s">
        <v>812</v>
      </c>
      <c r="D82" s="939"/>
      <c r="E82" s="939"/>
      <c r="F82" s="939"/>
      <c r="G82" s="939"/>
      <c r="H82" s="939"/>
      <c r="I82" s="939"/>
      <c r="J82" s="939"/>
      <c r="K82" s="939"/>
      <c r="L82" s="940"/>
    </row>
    <row r="83" spans="1:13" s="129" customFormat="1" ht="39.6" x14ac:dyDescent="0.25">
      <c r="A83" s="583"/>
      <c r="B83" s="576" t="s">
        <v>813</v>
      </c>
      <c r="C83" s="307" t="s">
        <v>826</v>
      </c>
      <c r="D83" s="188" t="s">
        <v>15</v>
      </c>
      <c r="E83" s="488" t="s">
        <v>711</v>
      </c>
      <c r="F83" s="321" t="s">
        <v>827</v>
      </c>
      <c r="G83" s="488" t="s">
        <v>711</v>
      </c>
      <c r="H83" s="190" t="s">
        <v>225</v>
      </c>
      <c r="I83" s="308">
        <v>33903900</v>
      </c>
      <c r="J83" s="323" t="s">
        <v>711</v>
      </c>
      <c r="K83" s="323" t="s">
        <v>711</v>
      </c>
      <c r="L83" s="645" t="s">
        <v>711</v>
      </c>
      <c r="M83" s="345" t="s">
        <v>343</v>
      </c>
    </row>
    <row r="84" spans="1:13" s="124" customFormat="1" ht="52.8" x14ac:dyDescent="0.25">
      <c r="A84" s="654"/>
      <c r="B84" s="679" t="s">
        <v>814</v>
      </c>
      <c r="C84" s="406" t="s">
        <v>828</v>
      </c>
      <c r="D84" s="386" t="s">
        <v>15</v>
      </c>
      <c r="E84" s="681" t="s">
        <v>436</v>
      </c>
      <c r="F84" s="669" t="s">
        <v>763</v>
      </c>
      <c r="G84" s="681" t="s">
        <v>436</v>
      </c>
      <c r="H84" s="390" t="s">
        <v>225</v>
      </c>
      <c r="I84" s="411" t="s">
        <v>5</v>
      </c>
      <c r="J84" s="669" t="s">
        <v>436</v>
      </c>
      <c r="K84" s="669" t="s">
        <v>436</v>
      </c>
      <c r="L84" s="682" t="s">
        <v>436</v>
      </c>
      <c r="M84" s="409"/>
    </row>
    <row r="85" spans="1:13" s="124" customFormat="1" ht="39.6" x14ac:dyDescent="0.25">
      <c r="A85" s="654"/>
      <c r="B85" s="679" t="s">
        <v>815</v>
      </c>
      <c r="C85" s="406" t="s">
        <v>625</v>
      </c>
      <c r="D85" s="386" t="s">
        <v>15</v>
      </c>
      <c r="E85" s="668" t="s">
        <v>801</v>
      </c>
      <c r="F85" s="669" t="s">
        <v>829</v>
      </c>
      <c r="G85" s="666" t="s">
        <v>756</v>
      </c>
      <c r="H85" s="390" t="s">
        <v>225</v>
      </c>
      <c r="I85" s="411" t="s">
        <v>5</v>
      </c>
      <c r="J85" s="668" t="s">
        <v>801</v>
      </c>
      <c r="K85" s="668" t="s">
        <v>801</v>
      </c>
      <c r="L85" s="670" t="s">
        <v>801</v>
      </c>
      <c r="M85" s="409"/>
    </row>
    <row r="86" spans="1:13" s="124" customFormat="1" ht="39.6" x14ac:dyDescent="0.25">
      <c r="A86" s="654"/>
      <c r="B86" s="683" t="s">
        <v>816</v>
      </c>
      <c r="C86" s="406" t="s">
        <v>828</v>
      </c>
      <c r="D86" s="386" t="s">
        <v>15</v>
      </c>
      <c r="E86" s="668" t="s">
        <v>221</v>
      </c>
      <c r="F86" s="669" t="s">
        <v>831</v>
      </c>
      <c r="G86" s="666" t="s">
        <v>776</v>
      </c>
      <c r="H86" s="390" t="s">
        <v>225</v>
      </c>
      <c r="I86" s="411" t="s">
        <v>5</v>
      </c>
      <c r="J86" s="672">
        <v>27442.11</v>
      </c>
      <c r="K86" s="672">
        <f>13051.11+14391+7790.33</f>
        <v>35232.44</v>
      </c>
      <c r="L86" s="674">
        <f>K86</f>
        <v>35232.44</v>
      </c>
      <c r="M86" s="684" t="s">
        <v>944</v>
      </c>
    </row>
    <row r="87" spans="1:13" s="129" customFormat="1" ht="39.6" x14ac:dyDescent="0.25">
      <c r="A87" s="583"/>
      <c r="B87" s="576" t="s">
        <v>817</v>
      </c>
      <c r="C87" s="307" t="s">
        <v>832</v>
      </c>
      <c r="D87" s="188" t="s">
        <v>15</v>
      </c>
      <c r="E87" s="187" t="s">
        <v>4</v>
      </c>
      <c r="F87" s="323" t="s">
        <v>833</v>
      </c>
      <c r="G87" s="345" t="s">
        <v>777</v>
      </c>
      <c r="H87" s="190" t="s">
        <v>225</v>
      </c>
      <c r="I87" s="308" t="s">
        <v>5</v>
      </c>
      <c r="J87" s="326">
        <v>46832.160000000003</v>
      </c>
      <c r="K87" s="326">
        <v>0</v>
      </c>
      <c r="L87" s="643">
        <v>0</v>
      </c>
      <c r="M87" s="640" t="s">
        <v>343</v>
      </c>
    </row>
    <row r="88" spans="1:13" s="129" customFormat="1" ht="39.6" x14ac:dyDescent="0.25">
      <c r="A88" s="583"/>
      <c r="B88" s="576" t="s">
        <v>818</v>
      </c>
      <c r="C88" s="307" t="s">
        <v>834</v>
      </c>
      <c r="D88" s="188" t="s">
        <v>15</v>
      </c>
      <c r="E88" s="187" t="s">
        <v>4</v>
      </c>
      <c r="F88" s="323" t="s">
        <v>835</v>
      </c>
      <c r="G88" s="345" t="s">
        <v>778</v>
      </c>
      <c r="H88" s="190" t="s">
        <v>225</v>
      </c>
      <c r="I88" s="308" t="s">
        <v>5</v>
      </c>
      <c r="J88" s="326">
        <v>24396.49</v>
      </c>
      <c r="K88" s="326">
        <v>0</v>
      </c>
      <c r="L88" s="643">
        <v>0</v>
      </c>
      <c r="M88" s="653" t="s">
        <v>944</v>
      </c>
    </row>
    <row r="89" spans="1:13" s="129" customFormat="1" ht="39.6" x14ac:dyDescent="0.25">
      <c r="A89" s="583"/>
      <c r="B89" s="576" t="s">
        <v>819</v>
      </c>
      <c r="C89" s="307" t="s">
        <v>836</v>
      </c>
      <c r="D89" s="188" t="s">
        <v>15</v>
      </c>
      <c r="E89" s="187" t="s">
        <v>4</v>
      </c>
      <c r="F89" s="323" t="s">
        <v>837</v>
      </c>
      <c r="G89" s="345" t="s">
        <v>779</v>
      </c>
      <c r="H89" s="190" t="s">
        <v>225</v>
      </c>
      <c r="I89" s="308" t="s">
        <v>5</v>
      </c>
      <c r="J89" s="326">
        <v>24396.49</v>
      </c>
      <c r="K89" s="326">
        <v>0</v>
      </c>
      <c r="L89" s="643">
        <v>0</v>
      </c>
      <c r="M89" s="653" t="s">
        <v>944</v>
      </c>
    </row>
    <row r="90" spans="1:13" s="124" customFormat="1" ht="39.6" x14ac:dyDescent="0.25">
      <c r="A90" s="654"/>
      <c r="B90" s="679" t="s">
        <v>820</v>
      </c>
      <c r="C90" s="406" t="s">
        <v>734</v>
      </c>
      <c r="D90" s="386" t="s">
        <v>15</v>
      </c>
      <c r="E90" s="681" t="s">
        <v>839</v>
      </c>
      <c r="F90" s="666" t="s">
        <v>838</v>
      </c>
      <c r="G90" s="681" t="s">
        <v>839</v>
      </c>
      <c r="H90" s="390" t="s">
        <v>225</v>
      </c>
      <c r="I90" s="411" t="s">
        <v>5</v>
      </c>
      <c r="J90" s="681" t="s">
        <v>839</v>
      </c>
      <c r="K90" s="681" t="s">
        <v>839</v>
      </c>
      <c r="L90" s="685" t="s">
        <v>839</v>
      </c>
      <c r="M90" s="409"/>
    </row>
    <row r="91" spans="1:13" s="129" customFormat="1" ht="39.6" x14ac:dyDescent="0.25">
      <c r="A91" s="583"/>
      <c r="B91" s="576" t="s">
        <v>821</v>
      </c>
      <c r="C91" s="307" t="s">
        <v>840</v>
      </c>
      <c r="D91" s="188" t="s">
        <v>15</v>
      </c>
      <c r="E91" s="187" t="s">
        <v>4</v>
      </c>
      <c r="F91" s="323" t="s">
        <v>841</v>
      </c>
      <c r="G91" s="345" t="s">
        <v>780</v>
      </c>
      <c r="H91" s="190" t="s">
        <v>225</v>
      </c>
      <c r="I91" s="308" t="s">
        <v>5</v>
      </c>
      <c r="J91" s="326">
        <v>64846.75</v>
      </c>
      <c r="K91" s="326">
        <v>0</v>
      </c>
      <c r="L91" s="643">
        <v>0</v>
      </c>
      <c r="M91" s="647" t="s">
        <v>774</v>
      </c>
    </row>
    <row r="92" spans="1:13" s="124" customFormat="1" ht="66" x14ac:dyDescent="0.25">
      <c r="A92" s="654"/>
      <c r="B92" s="679" t="s">
        <v>822</v>
      </c>
      <c r="C92" s="406" t="s">
        <v>842</v>
      </c>
      <c r="D92" s="386" t="s">
        <v>15</v>
      </c>
      <c r="E92" s="668" t="s">
        <v>843</v>
      </c>
      <c r="F92" s="669" t="s">
        <v>858</v>
      </c>
      <c r="G92" s="668" t="s">
        <v>843</v>
      </c>
      <c r="H92" s="390" t="s">
        <v>225</v>
      </c>
      <c r="I92" s="411" t="s">
        <v>5</v>
      </c>
      <c r="J92" s="668" t="s">
        <v>843</v>
      </c>
      <c r="K92" s="668" t="s">
        <v>843</v>
      </c>
      <c r="L92" s="670" t="s">
        <v>843</v>
      </c>
      <c r="M92" s="409"/>
    </row>
    <row r="93" spans="1:13" s="124" customFormat="1" ht="66" x14ac:dyDescent="0.25">
      <c r="A93" s="654"/>
      <c r="B93" s="679" t="s">
        <v>823</v>
      </c>
      <c r="C93" s="406" t="s">
        <v>844</v>
      </c>
      <c r="D93" s="386" t="s">
        <v>15</v>
      </c>
      <c r="E93" s="668" t="s">
        <v>671</v>
      </c>
      <c r="F93" s="669" t="s">
        <v>859</v>
      </c>
      <c r="G93" s="668" t="s">
        <v>671</v>
      </c>
      <c r="H93" s="390" t="s">
        <v>225</v>
      </c>
      <c r="I93" s="411" t="s">
        <v>5</v>
      </c>
      <c r="J93" s="668" t="s">
        <v>671</v>
      </c>
      <c r="K93" s="668" t="s">
        <v>671</v>
      </c>
      <c r="L93" s="670" t="s">
        <v>671</v>
      </c>
      <c r="M93" s="409"/>
    </row>
    <row r="94" spans="1:13" s="124" customFormat="1" ht="39.6" x14ac:dyDescent="0.25">
      <c r="A94" s="654"/>
      <c r="B94" s="679" t="s">
        <v>824</v>
      </c>
      <c r="C94" s="406" t="s">
        <v>845</v>
      </c>
      <c r="D94" s="386" t="s">
        <v>15</v>
      </c>
      <c r="E94" s="668" t="s">
        <v>221</v>
      </c>
      <c r="F94" s="669" t="s">
        <v>847</v>
      </c>
      <c r="G94" s="668" t="s">
        <v>781</v>
      </c>
      <c r="H94" s="390" t="s">
        <v>225</v>
      </c>
      <c r="I94" s="411" t="s">
        <v>5</v>
      </c>
      <c r="J94" s="672">
        <v>13483.44</v>
      </c>
      <c r="K94" s="672">
        <f>13483.44</f>
        <v>13483.44</v>
      </c>
      <c r="L94" s="674">
        <v>13483.44</v>
      </c>
      <c r="M94" s="660" t="s">
        <v>343</v>
      </c>
    </row>
    <row r="95" spans="1:13" s="124" customFormat="1" ht="26.4" x14ac:dyDescent="0.25">
      <c r="A95" s="654"/>
      <c r="B95" s="679" t="s">
        <v>825</v>
      </c>
      <c r="C95" s="406" t="s">
        <v>848</v>
      </c>
      <c r="D95" s="386" t="s">
        <v>15</v>
      </c>
      <c r="E95" s="668" t="s">
        <v>843</v>
      </c>
      <c r="F95" s="669" t="s">
        <v>846</v>
      </c>
      <c r="G95" s="668" t="s">
        <v>843</v>
      </c>
      <c r="H95" s="390" t="s">
        <v>225</v>
      </c>
      <c r="I95" s="411" t="s">
        <v>5</v>
      </c>
      <c r="J95" s="668" t="s">
        <v>843</v>
      </c>
      <c r="K95" s="668" t="s">
        <v>843</v>
      </c>
      <c r="L95" s="670" t="s">
        <v>843</v>
      </c>
      <c r="M95" s="409"/>
    </row>
    <row r="96" spans="1:13" s="124" customFormat="1" ht="39.6" x14ac:dyDescent="0.25">
      <c r="A96" s="654"/>
      <c r="B96" s="686" t="s">
        <v>849</v>
      </c>
      <c r="C96" s="406" t="s">
        <v>853</v>
      </c>
      <c r="D96" s="386" t="s">
        <v>15</v>
      </c>
      <c r="E96" s="668" t="s">
        <v>801</v>
      </c>
      <c r="F96" s="669" t="s">
        <v>846</v>
      </c>
      <c r="G96" s="668" t="s">
        <v>801</v>
      </c>
      <c r="H96" s="390" t="s">
        <v>225</v>
      </c>
      <c r="I96" s="411" t="s">
        <v>5</v>
      </c>
      <c r="J96" s="668" t="s">
        <v>801</v>
      </c>
      <c r="K96" s="668" t="s">
        <v>801</v>
      </c>
      <c r="L96" s="670" t="s">
        <v>801</v>
      </c>
      <c r="M96" s="409"/>
    </row>
    <row r="97" spans="1:13" s="124" customFormat="1" ht="40.799999999999997" x14ac:dyDescent="0.25">
      <c r="A97" s="654"/>
      <c r="B97" s="686" t="s">
        <v>850</v>
      </c>
      <c r="C97" s="406" t="s">
        <v>754</v>
      </c>
      <c r="D97" s="386" t="s">
        <v>15</v>
      </c>
      <c r="E97" s="668" t="s">
        <v>671</v>
      </c>
      <c r="F97" s="669" t="s">
        <v>946</v>
      </c>
      <c r="G97" s="668" t="s">
        <v>671</v>
      </c>
      <c r="H97" s="390" t="s">
        <v>225</v>
      </c>
      <c r="I97" s="411" t="s">
        <v>5</v>
      </c>
      <c r="J97" s="668" t="s">
        <v>671</v>
      </c>
      <c r="K97" s="668" t="s">
        <v>671</v>
      </c>
      <c r="L97" s="670" t="s">
        <v>671</v>
      </c>
      <c r="M97" s="409"/>
    </row>
    <row r="98" spans="1:13" s="124" customFormat="1" ht="39.6" x14ac:dyDescent="0.25">
      <c r="A98" s="654"/>
      <c r="B98" s="686" t="s">
        <v>851</v>
      </c>
      <c r="C98" s="406" t="s">
        <v>855</v>
      </c>
      <c r="D98" s="386" t="s">
        <v>15</v>
      </c>
      <c r="E98" s="668" t="s">
        <v>793</v>
      </c>
      <c r="F98" s="669" t="s">
        <v>857</v>
      </c>
      <c r="G98" s="668" t="s">
        <v>856</v>
      </c>
      <c r="H98" s="390" t="s">
        <v>225</v>
      </c>
      <c r="I98" s="411" t="s">
        <v>5</v>
      </c>
      <c r="J98" s="668" t="s">
        <v>793</v>
      </c>
      <c r="K98" s="668" t="s">
        <v>793</v>
      </c>
      <c r="L98" s="670" t="s">
        <v>793</v>
      </c>
      <c r="M98" s="409"/>
    </row>
    <row r="99" spans="1:13" s="129" customFormat="1" ht="40.200000000000003" thickBot="1" x14ac:dyDescent="0.3">
      <c r="A99" s="593"/>
      <c r="B99" s="594" t="s">
        <v>852</v>
      </c>
      <c r="C99" s="595" t="s">
        <v>855</v>
      </c>
      <c r="D99" s="596" t="s">
        <v>15</v>
      </c>
      <c r="E99" s="597" t="s">
        <v>671</v>
      </c>
      <c r="F99" s="598" t="s">
        <v>857</v>
      </c>
      <c r="G99" s="597" t="s">
        <v>947</v>
      </c>
      <c r="H99" s="599" t="s">
        <v>225</v>
      </c>
      <c r="I99" s="600" t="s">
        <v>5</v>
      </c>
      <c r="J99" s="648">
        <v>97430.37</v>
      </c>
      <c r="K99" s="597"/>
      <c r="L99" s="646"/>
      <c r="M99" s="649" t="s">
        <v>945</v>
      </c>
    </row>
    <row r="110" spans="1:13" x14ac:dyDescent="0.25">
      <c r="C110" s="3" t="s">
        <v>860</v>
      </c>
    </row>
  </sheetData>
  <mergeCells count="27">
    <mergeCell ref="A1:J1"/>
    <mergeCell ref="A2:J2"/>
    <mergeCell ref="A3:J3"/>
    <mergeCell ref="A4:J4"/>
    <mergeCell ref="A7:D7"/>
    <mergeCell ref="A10:D10"/>
    <mergeCell ref="F10:J10"/>
    <mergeCell ref="A11:J11"/>
    <mergeCell ref="A12:A15"/>
    <mergeCell ref="B12:E12"/>
    <mergeCell ref="F12:F15"/>
    <mergeCell ref="G12:G15"/>
    <mergeCell ref="H12:H15"/>
    <mergeCell ref="I12:L12"/>
    <mergeCell ref="K13:K15"/>
    <mergeCell ref="L13:L15"/>
    <mergeCell ref="B13:B15"/>
    <mergeCell ref="C13:C15"/>
    <mergeCell ref="D13:D15"/>
    <mergeCell ref="E13:E15"/>
    <mergeCell ref="I13:I15"/>
    <mergeCell ref="C82:L82"/>
    <mergeCell ref="J13:J15"/>
    <mergeCell ref="C16:L16"/>
    <mergeCell ref="C17:L17"/>
    <mergeCell ref="C33:L33"/>
    <mergeCell ref="C57:L57"/>
  </mergeCells>
  <printOptions horizontalCentered="1"/>
  <pageMargins left="0" right="0" top="0.19685039370078741" bottom="0.19685039370078741" header="0.51181102362204722" footer="0.51181102362204722"/>
  <pageSetup paperSize="9"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zoomScale="85" zoomScaleNormal="85" workbookViewId="0">
      <selection activeCell="C19" sqref="C19"/>
    </sheetView>
  </sheetViews>
  <sheetFormatPr defaultColWidth="9.109375" defaultRowHeight="13.2" x14ac:dyDescent="0.25"/>
  <cols>
    <col min="1" max="1" width="11.33203125" style="3" customWidth="1"/>
    <col min="2" max="2" width="56.33203125" style="3" customWidth="1"/>
    <col min="3" max="3" width="14.33203125" style="3" customWidth="1"/>
    <col min="4" max="4" width="13.109375" style="129" customWidth="1"/>
    <col min="5" max="5" width="15.5546875" style="3" customWidth="1"/>
    <col min="6" max="6" width="14.44140625" style="3" customWidth="1"/>
    <col min="7" max="7" width="10.6640625" style="3" hidden="1" customWidth="1"/>
    <col min="8" max="8" width="0.109375" style="3" hidden="1" customWidth="1"/>
    <col min="9" max="9" width="18.33203125" style="23" customWidth="1"/>
    <col min="10" max="10" width="25" style="23" customWidth="1"/>
    <col min="11" max="11" width="15.44140625" style="23" customWidth="1"/>
    <col min="12" max="12" width="12.44140625" style="23" customWidth="1"/>
    <col min="13" max="13" width="11.109375" style="23" customWidth="1"/>
    <col min="14" max="14" width="13.44140625" style="23" customWidth="1"/>
    <col min="15" max="15" width="13.109375" style="23" customWidth="1"/>
    <col min="16" max="16" width="11.44140625" style="23" customWidth="1"/>
    <col min="17" max="17" width="13.6640625" style="23" customWidth="1"/>
    <col min="18" max="18" width="11.6640625" style="23" customWidth="1"/>
    <col min="19" max="19" width="10.109375" style="23" customWidth="1"/>
    <col min="20" max="20" width="16.44140625" style="23" customWidth="1"/>
    <col min="21" max="21" width="14.88671875" style="3" customWidth="1"/>
    <col min="22" max="22" width="14.5546875" style="3" customWidth="1"/>
    <col min="23" max="23" width="15" style="3" customWidth="1"/>
    <col min="24" max="24" width="12.44140625" style="3" customWidth="1"/>
    <col min="25" max="25" width="10.6640625" style="129" customWidth="1"/>
    <col min="26" max="26" width="10" style="3" bestFit="1" customWidth="1"/>
    <col min="27" max="27" width="16.44140625" style="3" customWidth="1"/>
    <col min="28" max="38" width="8.6640625" style="3" customWidth="1"/>
    <col min="39" max="16384" width="9.109375" style="3"/>
  </cols>
  <sheetData>
    <row r="1" spans="1:24" ht="22.8" x14ac:dyDescent="0.4">
      <c r="A1" s="899" t="s">
        <v>20</v>
      </c>
      <c r="B1" s="900"/>
      <c r="C1" s="900"/>
      <c r="D1" s="900"/>
      <c r="E1" s="900"/>
      <c r="F1" s="900"/>
      <c r="G1" s="900"/>
      <c r="H1" s="900"/>
      <c r="I1" s="900"/>
    </row>
    <row r="2" spans="1:24" ht="17.399999999999999" x14ac:dyDescent="0.3">
      <c r="A2" s="901" t="s">
        <v>21</v>
      </c>
      <c r="B2" s="901"/>
      <c r="C2" s="901"/>
      <c r="D2" s="901"/>
      <c r="E2" s="901"/>
      <c r="F2" s="901"/>
      <c r="G2" s="901"/>
      <c r="H2" s="901"/>
      <c r="I2" s="901"/>
    </row>
    <row r="3" spans="1:24" ht="17.399999999999999" x14ac:dyDescent="0.3">
      <c r="A3" s="901"/>
      <c r="B3" s="901"/>
      <c r="C3" s="901"/>
      <c r="D3" s="901"/>
      <c r="E3" s="901"/>
      <c r="F3" s="901"/>
      <c r="G3" s="901"/>
      <c r="H3" s="901"/>
      <c r="I3" s="901"/>
    </row>
    <row r="4" spans="1:24" ht="15.6" x14ac:dyDescent="0.3">
      <c r="A4" s="981" t="s">
        <v>22</v>
      </c>
      <c r="B4" s="981"/>
      <c r="C4" s="981"/>
      <c r="D4" s="981"/>
      <c r="E4" s="981"/>
      <c r="F4" s="981"/>
      <c r="G4" s="981"/>
      <c r="H4" s="981"/>
      <c r="I4" s="981"/>
    </row>
    <row r="5" spans="1:24" ht="15.6" x14ac:dyDescent="0.3">
      <c r="A5" s="128"/>
      <c r="B5" s="128"/>
      <c r="C5" s="128"/>
      <c r="D5" s="744"/>
      <c r="E5" s="128"/>
      <c r="F5" s="128"/>
      <c r="G5" s="128"/>
      <c r="H5" s="128"/>
      <c r="I5" s="64"/>
      <c r="J5" s="64"/>
      <c r="K5" s="64"/>
      <c r="L5" s="64"/>
      <c r="M5" s="64"/>
      <c r="N5" s="64"/>
      <c r="O5" s="64"/>
      <c r="P5" s="64"/>
      <c r="Q5" s="64"/>
      <c r="R5" s="64"/>
      <c r="S5" s="64"/>
      <c r="T5" s="64"/>
    </row>
    <row r="6" spans="1:24" ht="15.6" x14ac:dyDescent="0.3">
      <c r="A6" s="687" t="s">
        <v>960</v>
      </c>
      <c r="B6" s="743"/>
      <c r="C6" s="743"/>
      <c r="D6" s="744"/>
      <c r="E6" s="6"/>
      <c r="F6" s="743"/>
      <c r="G6" s="743"/>
      <c r="H6" s="743"/>
      <c r="I6" s="62"/>
      <c r="J6" s="62"/>
      <c r="K6" s="62"/>
      <c r="L6" s="62"/>
      <c r="M6" s="62"/>
      <c r="N6" s="62"/>
      <c r="O6" s="62"/>
      <c r="P6" s="62"/>
      <c r="Q6" s="62"/>
      <c r="R6" s="62"/>
      <c r="S6" s="62"/>
      <c r="T6" s="62"/>
    </row>
    <row r="7" spans="1:24" ht="15.6" x14ac:dyDescent="0.3">
      <c r="A7" s="687" t="s">
        <v>961</v>
      </c>
      <c r="B7" s="743"/>
      <c r="C7" s="743"/>
      <c r="D7" s="744"/>
      <c r="E7" s="743"/>
      <c r="F7" s="743"/>
      <c r="G7" s="743"/>
      <c r="H7" s="743"/>
      <c r="I7" s="62"/>
      <c r="J7" s="62"/>
      <c r="K7" s="62"/>
      <c r="L7" s="62"/>
      <c r="M7" s="62"/>
      <c r="N7" s="62"/>
      <c r="O7" s="62"/>
      <c r="P7" s="62"/>
      <c r="Q7" s="62"/>
      <c r="R7" s="62"/>
      <c r="S7" s="62"/>
      <c r="T7" s="62"/>
    </row>
    <row r="8" spans="1:24" ht="15.6" x14ac:dyDescent="0.3">
      <c r="A8" s="687" t="s">
        <v>959</v>
      </c>
      <c r="B8" s="5"/>
      <c r="C8" s="5"/>
      <c r="D8" s="744"/>
      <c r="E8" s="897"/>
      <c r="F8" s="897"/>
      <c r="G8" s="897"/>
      <c r="H8" s="897"/>
      <c r="I8" s="897"/>
      <c r="J8" s="66"/>
      <c r="K8" s="66"/>
      <c r="L8" s="66"/>
      <c r="M8" s="66"/>
      <c r="N8" s="66"/>
      <c r="O8" s="66"/>
      <c r="P8" s="66"/>
      <c r="Q8" s="66"/>
      <c r="R8" s="66"/>
      <c r="S8" s="66"/>
      <c r="T8" s="66"/>
    </row>
    <row r="9" spans="1:24" ht="13.5" customHeight="1" x14ac:dyDescent="0.25">
      <c r="A9" s="695" t="s">
        <v>1103</v>
      </c>
      <c r="B9" s="695"/>
      <c r="C9" s="980" t="s">
        <v>951</v>
      </c>
      <c r="D9" s="980"/>
      <c r="E9" s="980"/>
      <c r="F9" s="980"/>
      <c r="G9" s="695"/>
      <c r="H9" s="695"/>
      <c r="I9" s="980" t="s">
        <v>952</v>
      </c>
      <c r="J9" s="980"/>
      <c r="K9" s="983" t="s">
        <v>953</v>
      </c>
      <c r="L9" s="983"/>
      <c r="M9" s="983"/>
      <c r="N9" s="983"/>
      <c r="O9" s="983"/>
      <c r="P9" s="983" t="s">
        <v>377</v>
      </c>
      <c r="Q9" s="983"/>
      <c r="R9" s="982" t="s">
        <v>970</v>
      </c>
      <c r="S9" s="983" t="s">
        <v>954</v>
      </c>
      <c r="T9" s="983"/>
      <c r="U9" s="983"/>
      <c r="V9" s="983"/>
      <c r="W9" s="982" t="s">
        <v>975</v>
      </c>
      <c r="X9" s="982" t="s">
        <v>10</v>
      </c>
    </row>
    <row r="10" spans="1:24" ht="12.75" customHeight="1" x14ac:dyDescent="0.25">
      <c r="A10" s="984" t="s">
        <v>1104</v>
      </c>
      <c r="B10" s="985" t="s">
        <v>9</v>
      </c>
      <c r="C10" s="982" t="s">
        <v>962</v>
      </c>
      <c r="D10" s="986" t="s">
        <v>955</v>
      </c>
      <c r="E10" s="982" t="s">
        <v>963</v>
      </c>
      <c r="F10" s="982" t="s">
        <v>964</v>
      </c>
      <c r="G10" s="982"/>
      <c r="H10" s="982" t="s">
        <v>12</v>
      </c>
      <c r="I10" s="987" t="s">
        <v>965</v>
      </c>
      <c r="J10" s="987" t="s">
        <v>956</v>
      </c>
      <c r="K10" s="982" t="s">
        <v>962</v>
      </c>
      <c r="L10" s="982" t="s">
        <v>966</v>
      </c>
      <c r="M10" s="982" t="s">
        <v>957</v>
      </c>
      <c r="N10" s="982" t="s">
        <v>967</v>
      </c>
      <c r="O10" s="982" t="s">
        <v>968</v>
      </c>
      <c r="P10" s="982" t="s">
        <v>958</v>
      </c>
      <c r="Q10" s="982" t="s">
        <v>969</v>
      </c>
      <c r="R10" s="982"/>
      <c r="S10" s="982" t="s">
        <v>971</v>
      </c>
      <c r="T10" s="982" t="s">
        <v>972</v>
      </c>
      <c r="U10" s="984" t="s">
        <v>973</v>
      </c>
      <c r="V10" s="984" t="s">
        <v>974</v>
      </c>
      <c r="W10" s="982"/>
      <c r="X10" s="982"/>
    </row>
    <row r="11" spans="1:24" x14ac:dyDescent="0.25">
      <c r="A11" s="984"/>
      <c r="B11" s="985"/>
      <c r="C11" s="982"/>
      <c r="D11" s="986"/>
      <c r="E11" s="982"/>
      <c r="F11" s="982"/>
      <c r="G11" s="982"/>
      <c r="H11" s="982"/>
      <c r="I11" s="987"/>
      <c r="J11" s="987"/>
      <c r="K11" s="982"/>
      <c r="L11" s="982"/>
      <c r="M11" s="982"/>
      <c r="N11" s="982"/>
      <c r="O11" s="982"/>
      <c r="P11" s="982"/>
      <c r="Q11" s="982"/>
      <c r="R11" s="982"/>
      <c r="S11" s="982"/>
      <c r="T11" s="982"/>
      <c r="U11" s="984"/>
      <c r="V11" s="984"/>
      <c r="W11" s="982"/>
      <c r="X11" s="982"/>
    </row>
    <row r="12" spans="1:24" ht="24.75" customHeight="1" x14ac:dyDescent="0.25">
      <c r="A12" s="984"/>
      <c r="B12" s="985"/>
      <c r="C12" s="982"/>
      <c r="D12" s="986"/>
      <c r="E12" s="982"/>
      <c r="F12" s="982"/>
      <c r="G12" s="982"/>
      <c r="H12" s="982"/>
      <c r="I12" s="987"/>
      <c r="J12" s="987"/>
      <c r="K12" s="982"/>
      <c r="L12" s="982"/>
      <c r="M12" s="982"/>
      <c r="N12" s="982"/>
      <c r="O12" s="982"/>
      <c r="P12" s="982"/>
      <c r="Q12" s="982"/>
      <c r="R12" s="982"/>
      <c r="S12" s="982"/>
      <c r="T12" s="982"/>
      <c r="U12" s="984"/>
      <c r="V12" s="984"/>
      <c r="W12" s="982"/>
      <c r="X12" s="982"/>
    </row>
    <row r="13" spans="1:24" s="129" customFormat="1" ht="22.8" x14ac:dyDescent="0.25">
      <c r="A13" s="189" t="s">
        <v>1135</v>
      </c>
      <c r="B13" s="696" t="s">
        <v>1133</v>
      </c>
      <c r="C13" s="190" t="s">
        <v>225</v>
      </c>
      <c r="D13" s="190" t="s">
        <v>225</v>
      </c>
      <c r="E13" s="190" t="s">
        <v>225</v>
      </c>
      <c r="F13" s="190" t="s">
        <v>225</v>
      </c>
      <c r="G13" s="723"/>
      <c r="H13" s="723"/>
      <c r="I13" s="188" t="s">
        <v>1013</v>
      </c>
      <c r="J13" s="187" t="s">
        <v>1014</v>
      </c>
      <c r="K13" s="189" t="s">
        <v>1134</v>
      </c>
      <c r="L13" s="701" t="s">
        <v>1136</v>
      </c>
      <c r="M13" s="305" t="s">
        <v>982</v>
      </c>
      <c r="N13" s="188">
        <v>13458.22</v>
      </c>
      <c r="O13" s="691" t="s">
        <v>1106</v>
      </c>
      <c r="P13" s="305" t="s">
        <v>982</v>
      </c>
      <c r="Q13" s="305" t="s">
        <v>977</v>
      </c>
      <c r="R13" s="305" t="s">
        <v>977</v>
      </c>
      <c r="S13" s="707">
        <v>44905100</v>
      </c>
      <c r="T13" s="305">
        <v>0</v>
      </c>
      <c r="U13" s="305">
        <v>0</v>
      </c>
      <c r="V13" s="305">
        <v>0</v>
      </c>
      <c r="W13" s="305">
        <v>0</v>
      </c>
      <c r="X13" s="691" t="s">
        <v>1106</v>
      </c>
    </row>
  </sheetData>
  <mergeCells count="34">
    <mergeCell ref="V10:V12"/>
    <mergeCell ref="F10:F12"/>
    <mergeCell ref="G10:G12"/>
    <mergeCell ref="H10:H12"/>
    <mergeCell ref="I10:I12"/>
    <mergeCell ref="J10:J12"/>
    <mergeCell ref="A10:A12"/>
    <mergeCell ref="B10:B12"/>
    <mergeCell ref="C10:C12"/>
    <mergeCell ref="D10:D12"/>
    <mergeCell ref="E10:E12"/>
    <mergeCell ref="X9:X12"/>
    <mergeCell ref="M10:M12"/>
    <mergeCell ref="N10:N12"/>
    <mergeCell ref="O10:O12"/>
    <mergeCell ref="P10:P12"/>
    <mergeCell ref="K9:O9"/>
    <mergeCell ref="P9:Q9"/>
    <mergeCell ref="R9:R12"/>
    <mergeCell ref="S9:V9"/>
    <mergeCell ref="W9:W12"/>
    <mergeCell ref="L10:L12"/>
    <mergeCell ref="K10:K12"/>
    <mergeCell ref="Q10:Q12"/>
    <mergeCell ref="S10:S12"/>
    <mergeCell ref="T10:T12"/>
    <mergeCell ref="U10:U12"/>
    <mergeCell ref="C9:F9"/>
    <mergeCell ref="I9:J9"/>
    <mergeCell ref="A1:I1"/>
    <mergeCell ref="A2:I2"/>
    <mergeCell ref="A3:I3"/>
    <mergeCell ref="A4:I4"/>
    <mergeCell ref="E8:I8"/>
  </mergeCells>
  <pageMargins left="0.51181102362204722" right="0.51181102362204722" top="0.78740157480314965" bottom="0.78740157480314965" header="0.31496062992125984" footer="0.31496062992125984"/>
  <pageSetup paperSize="9" scale="60" orientation="landscape"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4"/>
  <sheetViews>
    <sheetView topLeftCell="A9" zoomScaleNormal="100" workbookViewId="0">
      <pane xSplit="2" ySplit="34" topLeftCell="R73" activePane="bottomRight" state="frozen"/>
      <selection activeCell="A9" sqref="A9"/>
      <selection pane="topRight" activeCell="C9" sqref="C9"/>
      <selection pane="bottomLeft" activeCell="A43" sqref="A43"/>
      <selection pane="bottomRight" activeCell="T61" sqref="T61"/>
    </sheetView>
  </sheetViews>
  <sheetFormatPr defaultColWidth="9.109375" defaultRowHeight="13.2" x14ac:dyDescent="0.25"/>
  <cols>
    <col min="1" max="1" width="11.33203125" style="3" customWidth="1"/>
    <col min="2" max="2" width="56.33203125" style="3" customWidth="1"/>
    <col min="3" max="3" width="14.33203125" style="3" customWidth="1"/>
    <col min="4" max="4" width="13.109375" style="129" customWidth="1"/>
    <col min="5" max="5" width="15.5546875" style="3" customWidth="1"/>
    <col min="6" max="6" width="14.44140625" style="3" customWidth="1"/>
    <col min="7" max="7" width="10.6640625" style="3" hidden="1" customWidth="1"/>
    <col min="8" max="8" width="0.109375" style="3" hidden="1" customWidth="1"/>
    <col min="9" max="9" width="18.33203125" style="23" customWidth="1"/>
    <col min="10" max="10" width="25" style="23" customWidth="1"/>
    <col min="11" max="11" width="15.44140625" style="23" customWidth="1"/>
    <col min="12" max="12" width="12.44140625" style="23" customWidth="1"/>
    <col min="13" max="13" width="11.109375" style="23" customWidth="1"/>
    <col min="14" max="14" width="13.44140625" style="23" customWidth="1"/>
    <col min="15" max="15" width="13.109375" style="23" customWidth="1"/>
    <col min="16" max="16" width="11.44140625" style="23" customWidth="1"/>
    <col min="17" max="17" width="13.6640625" style="23" customWidth="1"/>
    <col min="18" max="18" width="11.6640625" style="23" customWidth="1"/>
    <col min="19" max="19" width="10.109375" style="23" customWidth="1"/>
    <col min="20" max="20" width="16.44140625" style="23" customWidth="1"/>
    <col min="21" max="21" width="14.88671875" style="3" customWidth="1"/>
    <col min="22" max="22" width="14.5546875" style="3" customWidth="1"/>
    <col min="23" max="23" width="15" style="3" customWidth="1"/>
    <col min="24" max="24" width="12.44140625" style="3" customWidth="1"/>
    <col min="25" max="25" width="10.6640625" style="129" customWidth="1"/>
    <col min="26" max="26" width="10" style="3" bestFit="1" customWidth="1"/>
    <col min="27" max="27" width="16.44140625" style="3" customWidth="1"/>
    <col min="28" max="38" width="8.6640625" style="3" customWidth="1"/>
    <col min="39" max="16384" width="9.109375" style="3"/>
  </cols>
  <sheetData>
    <row r="1" spans="1:25" ht="22.8" x14ac:dyDescent="0.4">
      <c r="A1" s="899" t="s">
        <v>20</v>
      </c>
      <c r="B1" s="900"/>
      <c r="C1" s="900"/>
      <c r="D1" s="900"/>
      <c r="E1" s="900"/>
      <c r="F1" s="900"/>
      <c r="G1" s="900"/>
      <c r="H1" s="900"/>
      <c r="I1" s="900"/>
    </row>
    <row r="2" spans="1:25" ht="17.399999999999999" x14ac:dyDescent="0.3">
      <c r="A2" s="901" t="s">
        <v>21</v>
      </c>
      <c r="B2" s="901"/>
      <c r="C2" s="901"/>
      <c r="D2" s="901"/>
      <c r="E2" s="901"/>
      <c r="F2" s="901"/>
      <c r="G2" s="901"/>
      <c r="H2" s="901"/>
      <c r="I2" s="901"/>
    </row>
    <row r="3" spans="1:25" ht="17.399999999999999" x14ac:dyDescent="0.3">
      <c r="A3" s="901"/>
      <c r="B3" s="901"/>
      <c r="C3" s="901"/>
      <c r="D3" s="901"/>
      <c r="E3" s="901"/>
      <c r="F3" s="901"/>
      <c r="G3" s="901"/>
      <c r="H3" s="901"/>
      <c r="I3" s="901"/>
    </row>
    <row r="4" spans="1:25" ht="15.6" x14ac:dyDescent="0.3">
      <c r="A4" s="981" t="s">
        <v>22</v>
      </c>
      <c r="B4" s="981"/>
      <c r="C4" s="981"/>
      <c r="D4" s="981"/>
      <c r="E4" s="981"/>
      <c r="F4" s="981"/>
      <c r="G4" s="981"/>
      <c r="H4" s="981"/>
      <c r="I4" s="981"/>
    </row>
    <row r="5" spans="1:25" ht="15.6" x14ac:dyDescent="0.3">
      <c r="A5" s="128"/>
      <c r="B5" s="128"/>
      <c r="C5" s="128"/>
      <c r="D5" s="694"/>
      <c r="E5" s="128"/>
      <c r="F5" s="128"/>
      <c r="G5" s="128"/>
      <c r="H5" s="128"/>
      <c r="I5" s="64"/>
      <c r="J5" s="64"/>
      <c r="K5" s="64"/>
      <c r="L5" s="64"/>
      <c r="M5" s="64"/>
      <c r="N5" s="64"/>
      <c r="O5" s="64"/>
      <c r="P5" s="64"/>
      <c r="Q5" s="64"/>
      <c r="R5" s="64"/>
      <c r="S5" s="64"/>
      <c r="T5" s="64"/>
    </row>
    <row r="6" spans="1:25" ht="15.6" x14ac:dyDescent="0.3">
      <c r="A6" s="687" t="s">
        <v>960</v>
      </c>
      <c r="B6" s="693"/>
      <c r="C6" s="693"/>
      <c r="D6" s="694"/>
      <c r="E6" s="6"/>
      <c r="F6" s="693"/>
      <c r="G6" s="693"/>
      <c r="H6" s="693"/>
      <c r="I6" s="62"/>
      <c r="J6" s="62"/>
      <c r="K6" s="62"/>
      <c r="L6" s="62"/>
      <c r="M6" s="62"/>
      <c r="N6" s="62"/>
      <c r="O6" s="62"/>
      <c r="P6" s="62"/>
      <c r="Q6" s="62"/>
      <c r="R6" s="62"/>
      <c r="S6" s="62"/>
      <c r="T6" s="62"/>
    </row>
    <row r="7" spans="1:25" ht="15.6" x14ac:dyDescent="0.3">
      <c r="A7" s="687" t="s">
        <v>961</v>
      </c>
      <c r="B7" s="693"/>
      <c r="C7" s="693"/>
      <c r="D7" s="694"/>
      <c r="E7" s="693"/>
      <c r="F7" s="693"/>
      <c r="G7" s="693"/>
      <c r="H7" s="693"/>
      <c r="I7" s="62"/>
      <c r="J7" s="62"/>
      <c r="K7" s="62"/>
      <c r="L7" s="62"/>
      <c r="M7" s="62"/>
      <c r="N7" s="62"/>
      <c r="O7" s="62"/>
      <c r="P7" s="62"/>
      <c r="Q7" s="62"/>
      <c r="R7" s="62"/>
      <c r="S7" s="62"/>
      <c r="T7" s="62"/>
    </row>
    <row r="8" spans="1:25" ht="15.6" x14ac:dyDescent="0.3">
      <c r="A8" s="687" t="s">
        <v>1244</v>
      </c>
      <c r="B8" s="5"/>
      <c r="C8" s="5"/>
      <c r="D8" s="694"/>
      <c r="E8" s="897"/>
      <c r="F8" s="897"/>
      <c r="G8" s="897"/>
      <c r="H8" s="897"/>
      <c r="I8" s="897"/>
      <c r="J8" s="66"/>
      <c r="K8" s="66"/>
      <c r="L8" s="66"/>
      <c r="M8" s="66"/>
      <c r="N8" s="66"/>
      <c r="O8" s="66"/>
      <c r="P8" s="66"/>
      <c r="Q8" s="66"/>
      <c r="R8" s="66"/>
      <c r="S8" s="66"/>
      <c r="T8" s="66"/>
    </row>
    <row r="9" spans="1:25" ht="13.5" customHeight="1" x14ac:dyDescent="0.25">
      <c r="A9" s="695" t="s">
        <v>1103</v>
      </c>
      <c r="B9" s="695"/>
      <c r="C9" s="980" t="s">
        <v>951</v>
      </c>
      <c r="D9" s="980"/>
      <c r="E9" s="980"/>
      <c r="F9" s="980"/>
      <c r="G9" s="695"/>
      <c r="H9" s="695"/>
      <c r="I9" s="980" t="s">
        <v>952</v>
      </c>
      <c r="J9" s="980"/>
      <c r="K9" s="983" t="s">
        <v>953</v>
      </c>
      <c r="L9" s="983"/>
      <c r="M9" s="983"/>
      <c r="N9" s="983"/>
      <c r="O9" s="983"/>
      <c r="P9" s="983" t="s">
        <v>377</v>
      </c>
      <c r="Q9" s="983"/>
      <c r="R9" s="982" t="s">
        <v>970</v>
      </c>
      <c r="S9" s="983" t="s">
        <v>954</v>
      </c>
      <c r="T9" s="983"/>
      <c r="U9" s="983"/>
      <c r="V9" s="983"/>
      <c r="W9" s="982" t="s">
        <v>975</v>
      </c>
      <c r="X9" s="982" t="s">
        <v>10</v>
      </c>
    </row>
    <row r="10" spans="1:25" ht="12.75" customHeight="1" x14ac:dyDescent="0.25">
      <c r="A10" s="984" t="s">
        <v>1104</v>
      </c>
      <c r="B10" s="985" t="s">
        <v>9</v>
      </c>
      <c r="C10" s="982" t="s">
        <v>962</v>
      </c>
      <c r="D10" s="986" t="s">
        <v>955</v>
      </c>
      <c r="E10" s="982" t="s">
        <v>963</v>
      </c>
      <c r="F10" s="982" t="s">
        <v>964</v>
      </c>
      <c r="G10" s="982"/>
      <c r="H10" s="982" t="s">
        <v>12</v>
      </c>
      <c r="I10" s="987" t="s">
        <v>965</v>
      </c>
      <c r="J10" s="987" t="s">
        <v>956</v>
      </c>
      <c r="K10" s="982" t="s">
        <v>962</v>
      </c>
      <c r="L10" s="982" t="s">
        <v>966</v>
      </c>
      <c r="M10" s="982" t="s">
        <v>957</v>
      </c>
      <c r="N10" s="982" t="s">
        <v>967</v>
      </c>
      <c r="O10" s="982" t="s">
        <v>968</v>
      </c>
      <c r="P10" s="982" t="s">
        <v>958</v>
      </c>
      <c r="Q10" s="982" t="s">
        <v>969</v>
      </c>
      <c r="R10" s="982"/>
      <c r="S10" s="982" t="s">
        <v>971</v>
      </c>
      <c r="T10" s="982" t="s">
        <v>972</v>
      </c>
      <c r="U10" s="984" t="s">
        <v>1247</v>
      </c>
      <c r="V10" s="984" t="s">
        <v>974</v>
      </c>
      <c r="W10" s="982"/>
      <c r="X10" s="982"/>
    </row>
    <row r="11" spans="1:25" x14ac:dyDescent="0.25">
      <c r="A11" s="984"/>
      <c r="B11" s="985"/>
      <c r="C11" s="982"/>
      <c r="D11" s="986"/>
      <c r="E11" s="982"/>
      <c r="F11" s="982"/>
      <c r="G11" s="982"/>
      <c r="H11" s="982"/>
      <c r="I11" s="987"/>
      <c r="J11" s="987"/>
      <c r="K11" s="982"/>
      <c r="L11" s="982"/>
      <c r="M11" s="982"/>
      <c r="N11" s="982"/>
      <c r="O11" s="982"/>
      <c r="P11" s="982"/>
      <c r="Q11" s="982"/>
      <c r="R11" s="982"/>
      <c r="S11" s="982"/>
      <c r="T11" s="982"/>
      <c r="U11" s="984"/>
      <c r="V11" s="984"/>
      <c r="W11" s="982"/>
      <c r="X11" s="982"/>
    </row>
    <row r="12" spans="1:25" ht="24.75" customHeight="1" x14ac:dyDescent="0.25">
      <c r="A12" s="984"/>
      <c r="B12" s="985"/>
      <c r="C12" s="982"/>
      <c r="D12" s="986"/>
      <c r="E12" s="982"/>
      <c r="F12" s="982"/>
      <c r="G12" s="982"/>
      <c r="H12" s="982"/>
      <c r="I12" s="987"/>
      <c r="J12" s="987"/>
      <c r="K12" s="982"/>
      <c r="L12" s="982"/>
      <c r="M12" s="982"/>
      <c r="N12" s="982"/>
      <c r="O12" s="982"/>
      <c r="P12" s="982"/>
      <c r="Q12" s="982"/>
      <c r="R12" s="982"/>
      <c r="S12" s="982"/>
      <c r="T12" s="982"/>
      <c r="U12" s="984"/>
      <c r="V12" s="984"/>
      <c r="W12" s="982"/>
      <c r="X12" s="982"/>
    </row>
    <row r="13" spans="1:25" s="348" customFormat="1" ht="22.8" hidden="1" x14ac:dyDescent="0.4">
      <c r="A13" s="714"/>
      <c r="B13" s="992" t="s">
        <v>1132</v>
      </c>
      <c r="C13" s="992"/>
      <c r="D13" s="992"/>
      <c r="E13" s="992"/>
      <c r="F13" s="992"/>
      <c r="G13" s="992"/>
      <c r="H13" s="992"/>
      <c r="I13" s="992"/>
      <c r="J13" s="992"/>
      <c r="K13" s="993"/>
      <c r="L13" s="715"/>
      <c r="M13" s="715"/>
      <c r="N13" s="715"/>
      <c r="O13" s="715"/>
      <c r="P13" s="715"/>
      <c r="Q13" s="715"/>
      <c r="R13" s="715"/>
      <c r="S13" s="715"/>
      <c r="T13" s="715"/>
      <c r="U13" s="716"/>
      <c r="V13" s="717"/>
      <c r="W13" s="717"/>
      <c r="X13" s="717"/>
      <c r="Y13" s="129"/>
    </row>
    <row r="14" spans="1:25" s="348" customFormat="1" ht="22.8" hidden="1" x14ac:dyDescent="0.4">
      <c r="A14" s="718"/>
      <c r="B14" s="994" t="s">
        <v>364</v>
      </c>
      <c r="C14" s="994"/>
      <c r="D14" s="994"/>
      <c r="E14" s="994"/>
      <c r="F14" s="994"/>
      <c r="G14" s="994"/>
      <c r="H14" s="994"/>
      <c r="I14" s="994"/>
      <c r="J14" s="994"/>
      <c r="K14" s="995"/>
      <c r="L14" s="719"/>
      <c r="M14" s="719"/>
      <c r="N14" s="719"/>
      <c r="O14" s="719"/>
      <c r="P14" s="719"/>
      <c r="Q14" s="719"/>
      <c r="R14" s="719"/>
      <c r="S14" s="719"/>
      <c r="T14" s="719"/>
      <c r="U14" s="720"/>
      <c r="V14" s="720"/>
      <c r="W14" s="720"/>
      <c r="X14" s="720"/>
      <c r="Y14" s="129"/>
    </row>
    <row r="15" spans="1:25" s="124" customFormat="1" ht="22.8" hidden="1" x14ac:dyDescent="0.25">
      <c r="A15" s="393" t="s">
        <v>1135</v>
      </c>
      <c r="B15" s="712" t="s">
        <v>1133</v>
      </c>
      <c r="C15" s="390" t="s">
        <v>225</v>
      </c>
      <c r="D15" s="390" t="s">
        <v>225</v>
      </c>
      <c r="E15" s="390" t="s">
        <v>225</v>
      </c>
      <c r="F15" s="390" t="s">
        <v>225</v>
      </c>
      <c r="G15" s="742"/>
      <c r="H15" s="742"/>
      <c r="I15" s="386" t="s">
        <v>1013</v>
      </c>
      <c r="J15" s="668" t="s">
        <v>1014</v>
      </c>
      <c r="K15" s="393" t="s">
        <v>1134</v>
      </c>
      <c r="L15" s="739" t="s">
        <v>1136</v>
      </c>
      <c r="M15" s="392" t="s">
        <v>982</v>
      </c>
      <c r="N15" s="386">
        <v>13458.22</v>
      </c>
      <c r="O15" s="387" t="s">
        <v>1106</v>
      </c>
      <c r="P15" s="392" t="s">
        <v>982</v>
      </c>
      <c r="Q15" s="392" t="s">
        <v>977</v>
      </c>
      <c r="R15" s="392" t="s">
        <v>977</v>
      </c>
      <c r="S15" s="741">
        <v>44905100</v>
      </c>
      <c r="T15" s="392">
        <v>0</v>
      </c>
      <c r="U15" s="392">
        <v>0</v>
      </c>
      <c r="V15" s="392">
        <v>0</v>
      </c>
      <c r="W15" s="392">
        <v>0</v>
      </c>
      <c r="X15" s="387" t="s">
        <v>1106</v>
      </c>
    </row>
    <row r="16" spans="1:25" s="124" customFormat="1" ht="30.6" hidden="1" x14ac:dyDescent="0.25">
      <c r="A16" s="393" t="s">
        <v>1138</v>
      </c>
      <c r="B16" s="712" t="s">
        <v>1137</v>
      </c>
      <c r="C16" s="390" t="s">
        <v>225</v>
      </c>
      <c r="D16" s="390" t="s">
        <v>225</v>
      </c>
      <c r="E16" s="390" t="s">
        <v>225</v>
      </c>
      <c r="F16" s="390" t="s">
        <v>225</v>
      </c>
      <c r="G16" s="742"/>
      <c r="H16" s="742"/>
      <c r="I16" s="386" t="s">
        <v>1013</v>
      </c>
      <c r="J16" s="668" t="s">
        <v>1014</v>
      </c>
      <c r="K16" s="393" t="s">
        <v>1139</v>
      </c>
      <c r="L16" s="739" t="s">
        <v>1140</v>
      </c>
      <c r="M16" s="392" t="s">
        <v>976</v>
      </c>
      <c r="N16" s="386">
        <v>47669.59</v>
      </c>
      <c r="O16" s="387" t="s">
        <v>1106</v>
      </c>
      <c r="P16" s="392" t="s">
        <v>977</v>
      </c>
      <c r="Q16" s="392" t="s">
        <v>977</v>
      </c>
      <c r="R16" s="392" t="s">
        <v>977</v>
      </c>
      <c r="S16" s="741">
        <v>44905100</v>
      </c>
      <c r="T16" s="392">
        <v>0</v>
      </c>
      <c r="U16" s="392">
        <v>0</v>
      </c>
      <c r="V16" s="392">
        <v>0</v>
      </c>
      <c r="W16" s="392">
        <v>0</v>
      </c>
      <c r="X16" s="387" t="s">
        <v>1106</v>
      </c>
    </row>
    <row r="17" spans="1:24" s="124" customFormat="1" ht="40.799999999999997" hidden="1" x14ac:dyDescent="0.25">
      <c r="A17" s="393" t="s">
        <v>1142</v>
      </c>
      <c r="B17" s="712" t="s">
        <v>1141</v>
      </c>
      <c r="C17" s="390" t="s">
        <v>225</v>
      </c>
      <c r="D17" s="390" t="s">
        <v>225</v>
      </c>
      <c r="E17" s="390" t="s">
        <v>225</v>
      </c>
      <c r="F17" s="390" t="s">
        <v>225</v>
      </c>
      <c r="G17" s="742"/>
      <c r="H17" s="742"/>
      <c r="I17" s="386" t="s">
        <v>1144</v>
      </c>
      <c r="J17" s="668" t="s">
        <v>1143</v>
      </c>
      <c r="K17" s="393" t="s">
        <v>1145</v>
      </c>
      <c r="L17" s="739" t="s">
        <v>1146</v>
      </c>
      <c r="M17" s="392" t="s">
        <v>982</v>
      </c>
      <c r="N17" s="386">
        <v>25867.71</v>
      </c>
      <c r="O17" s="387" t="s">
        <v>4</v>
      </c>
      <c r="P17" s="392" t="s">
        <v>977</v>
      </c>
      <c r="Q17" s="392" t="s">
        <v>977</v>
      </c>
      <c r="R17" s="392" t="s">
        <v>977</v>
      </c>
      <c r="S17" s="741">
        <v>44905100</v>
      </c>
      <c r="T17" s="392">
        <v>10513.61</v>
      </c>
      <c r="U17" s="392">
        <v>10513.61</v>
      </c>
      <c r="V17" s="392">
        <v>10513.61</v>
      </c>
      <c r="W17" s="392">
        <v>10513.61</v>
      </c>
      <c r="X17" s="387" t="s">
        <v>4</v>
      </c>
    </row>
    <row r="18" spans="1:24" s="124" customFormat="1" ht="30.6" hidden="1" x14ac:dyDescent="0.25">
      <c r="A18" s="393" t="s">
        <v>1147</v>
      </c>
      <c r="B18" s="712" t="s">
        <v>1151</v>
      </c>
      <c r="C18" s="390" t="s">
        <v>225</v>
      </c>
      <c r="D18" s="390" t="s">
        <v>225</v>
      </c>
      <c r="E18" s="390" t="s">
        <v>225</v>
      </c>
      <c r="F18" s="390" t="s">
        <v>225</v>
      </c>
      <c r="G18" s="742"/>
      <c r="H18" s="742"/>
      <c r="I18" s="386" t="s">
        <v>992</v>
      </c>
      <c r="J18" s="668" t="s">
        <v>569</v>
      </c>
      <c r="K18" s="393" t="s">
        <v>1152</v>
      </c>
      <c r="L18" s="739" t="s">
        <v>1153</v>
      </c>
      <c r="M18" s="392" t="s">
        <v>976</v>
      </c>
      <c r="N18" s="386">
        <v>81643.28</v>
      </c>
      <c r="O18" s="387" t="s">
        <v>4</v>
      </c>
      <c r="P18" s="392" t="s">
        <v>977</v>
      </c>
      <c r="Q18" s="392" t="s">
        <v>977</v>
      </c>
      <c r="R18" s="392" t="s">
        <v>977</v>
      </c>
      <c r="S18" s="741">
        <v>44905100</v>
      </c>
      <c r="T18" s="392">
        <v>15402</v>
      </c>
      <c r="U18" s="392">
        <v>0</v>
      </c>
      <c r="V18" s="392">
        <v>0</v>
      </c>
      <c r="W18" s="392">
        <v>0</v>
      </c>
      <c r="X18" s="387" t="s">
        <v>4</v>
      </c>
    </row>
    <row r="19" spans="1:24" s="124" customFormat="1" ht="30.6" hidden="1" x14ac:dyDescent="0.25">
      <c r="A19" s="393" t="s">
        <v>1148</v>
      </c>
      <c r="B19" s="712" t="s">
        <v>1154</v>
      </c>
      <c r="C19" s="390" t="s">
        <v>225</v>
      </c>
      <c r="D19" s="390" t="s">
        <v>225</v>
      </c>
      <c r="E19" s="390" t="s">
        <v>225</v>
      </c>
      <c r="F19" s="390" t="s">
        <v>225</v>
      </c>
      <c r="G19" s="742"/>
      <c r="H19" s="742"/>
      <c r="I19" s="386" t="s">
        <v>436</v>
      </c>
      <c r="J19" s="386" t="s">
        <v>436</v>
      </c>
      <c r="K19" s="386" t="s">
        <v>436</v>
      </c>
      <c r="L19" s="386" t="s">
        <v>436</v>
      </c>
      <c r="M19" s="417" t="s">
        <v>436</v>
      </c>
      <c r="N19" s="386" t="s">
        <v>436</v>
      </c>
      <c r="O19" s="386" t="s">
        <v>436</v>
      </c>
      <c r="P19" s="417" t="s">
        <v>436</v>
      </c>
      <c r="Q19" s="386" t="s">
        <v>436</v>
      </c>
      <c r="R19" s="417" t="s">
        <v>436</v>
      </c>
      <c r="S19" s="748" t="s">
        <v>436</v>
      </c>
      <c r="T19" s="386" t="s">
        <v>436</v>
      </c>
      <c r="U19" s="386" t="s">
        <v>436</v>
      </c>
      <c r="V19" s="386" t="s">
        <v>436</v>
      </c>
      <c r="W19" s="386" t="s">
        <v>436</v>
      </c>
      <c r="X19" s="386" t="s">
        <v>436</v>
      </c>
    </row>
    <row r="20" spans="1:24" s="124" customFormat="1" ht="61.2" hidden="1" x14ac:dyDescent="0.25">
      <c r="A20" s="393" t="s">
        <v>1149</v>
      </c>
      <c r="B20" s="712" t="s">
        <v>1155</v>
      </c>
      <c r="C20" s="390" t="s">
        <v>225</v>
      </c>
      <c r="D20" s="390" t="s">
        <v>225</v>
      </c>
      <c r="E20" s="390" t="s">
        <v>225</v>
      </c>
      <c r="F20" s="390" t="s">
        <v>225</v>
      </c>
      <c r="G20" s="742"/>
      <c r="H20" s="742"/>
      <c r="I20" s="386" t="s">
        <v>992</v>
      </c>
      <c r="J20" s="668" t="s">
        <v>569</v>
      </c>
      <c r="K20" s="393" t="s">
        <v>1156</v>
      </c>
      <c r="L20" s="739" t="s">
        <v>1157</v>
      </c>
      <c r="M20" s="392" t="s">
        <v>982</v>
      </c>
      <c r="N20" s="386">
        <v>29206</v>
      </c>
      <c r="O20" s="387" t="s">
        <v>4</v>
      </c>
      <c r="P20" s="392" t="s">
        <v>977</v>
      </c>
      <c r="Q20" s="392" t="s">
        <v>977</v>
      </c>
      <c r="R20" s="392" t="s">
        <v>977</v>
      </c>
      <c r="S20" s="741">
        <v>44905100</v>
      </c>
      <c r="T20" s="392">
        <v>12176.06</v>
      </c>
      <c r="U20" s="392">
        <v>12176.06</v>
      </c>
      <c r="V20" s="392">
        <v>12176.06</v>
      </c>
      <c r="W20" s="392">
        <v>12176.06</v>
      </c>
      <c r="X20" s="387" t="s">
        <v>4</v>
      </c>
    </row>
    <row r="21" spans="1:24" s="124" customFormat="1" ht="30.6" hidden="1" x14ac:dyDescent="0.25">
      <c r="A21" s="393" t="s">
        <v>1150</v>
      </c>
      <c r="B21" s="712" t="s">
        <v>1158</v>
      </c>
      <c r="C21" s="390" t="s">
        <v>225</v>
      </c>
      <c r="D21" s="390" t="s">
        <v>225</v>
      </c>
      <c r="E21" s="390" t="s">
        <v>225</v>
      </c>
      <c r="F21" s="390" t="s">
        <v>225</v>
      </c>
      <c r="G21" s="742"/>
      <c r="H21" s="742"/>
      <c r="I21" s="386" t="s">
        <v>1018</v>
      </c>
      <c r="J21" s="668" t="s">
        <v>1159</v>
      </c>
      <c r="K21" s="393" t="s">
        <v>1160</v>
      </c>
      <c r="L21" s="739" t="s">
        <v>1157</v>
      </c>
      <c r="M21" s="392" t="s">
        <v>976</v>
      </c>
      <c r="N21" s="386">
        <v>94265.45</v>
      </c>
      <c r="O21" s="387" t="s">
        <v>1106</v>
      </c>
      <c r="P21" s="392" t="s">
        <v>977</v>
      </c>
      <c r="Q21" s="392" t="s">
        <v>977</v>
      </c>
      <c r="R21" s="392" t="s">
        <v>977</v>
      </c>
      <c r="S21" s="741">
        <v>44905100</v>
      </c>
      <c r="T21" s="392">
        <v>0</v>
      </c>
      <c r="U21" s="392">
        <v>0</v>
      </c>
      <c r="V21" s="392">
        <v>0</v>
      </c>
      <c r="W21" s="392">
        <v>0</v>
      </c>
      <c r="X21" s="387" t="s">
        <v>1106</v>
      </c>
    </row>
    <row r="22" spans="1:24" s="124" customFormat="1" ht="30.6" hidden="1" x14ac:dyDescent="0.25">
      <c r="A22" s="393" t="s">
        <v>1161</v>
      </c>
      <c r="B22" s="712" t="s">
        <v>1162</v>
      </c>
      <c r="C22" s="390" t="s">
        <v>225</v>
      </c>
      <c r="D22" s="390" t="s">
        <v>225</v>
      </c>
      <c r="E22" s="390" t="s">
        <v>225</v>
      </c>
      <c r="F22" s="390" t="s">
        <v>225</v>
      </c>
      <c r="G22" s="742"/>
      <c r="H22" s="742"/>
      <c r="I22" s="386" t="s">
        <v>1164</v>
      </c>
      <c r="J22" s="668" t="s">
        <v>1163</v>
      </c>
      <c r="K22" s="393" t="s">
        <v>947</v>
      </c>
      <c r="L22" s="739" t="s">
        <v>1165</v>
      </c>
      <c r="M22" s="392" t="s">
        <v>984</v>
      </c>
      <c r="N22" s="386">
        <v>12244.73</v>
      </c>
      <c r="O22" s="387" t="s">
        <v>4</v>
      </c>
      <c r="P22" s="392" t="s">
        <v>984</v>
      </c>
      <c r="Q22" s="392" t="s">
        <v>977</v>
      </c>
      <c r="R22" s="392" t="s">
        <v>977</v>
      </c>
      <c r="S22" s="741">
        <v>44905100</v>
      </c>
      <c r="T22" s="392">
        <v>8727.01</v>
      </c>
      <c r="U22" s="392">
        <v>8106.88</v>
      </c>
      <c r="V22" s="392">
        <v>8106.88</v>
      </c>
      <c r="W22" s="392">
        <v>8106.88</v>
      </c>
      <c r="X22" s="387" t="s">
        <v>4</v>
      </c>
    </row>
    <row r="23" spans="1:24" s="124" customFormat="1" ht="30.6" hidden="1" x14ac:dyDescent="0.25">
      <c r="A23" s="393" t="s">
        <v>1167</v>
      </c>
      <c r="B23" s="712" t="s">
        <v>1166</v>
      </c>
      <c r="C23" s="390" t="s">
        <v>225</v>
      </c>
      <c r="D23" s="390" t="s">
        <v>225</v>
      </c>
      <c r="E23" s="390" t="s">
        <v>225</v>
      </c>
      <c r="F23" s="390" t="s">
        <v>225</v>
      </c>
      <c r="G23" s="742"/>
      <c r="H23" s="742"/>
      <c r="I23" s="386" t="s">
        <v>671</v>
      </c>
      <c r="J23" s="386" t="s">
        <v>671</v>
      </c>
      <c r="K23" s="386" t="s">
        <v>671</v>
      </c>
      <c r="L23" s="386" t="s">
        <v>671</v>
      </c>
      <c r="M23" s="386" t="s">
        <v>671</v>
      </c>
      <c r="N23" s="386" t="s">
        <v>671</v>
      </c>
      <c r="O23" s="386" t="s">
        <v>671</v>
      </c>
      <c r="P23" s="386" t="s">
        <v>671</v>
      </c>
      <c r="Q23" s="386" t="s">
        <v>671</v>
      </c>
      <c r="R23" s="386" t="s">
        <v>671</v>
      </c>
      <c r="S23" s="386" t="s">
        <v>671</v>
      </c>
      <c r="T23" s="386" t="s">
        <v>671</v>
      </c>
      <c r="U23" s="386" t="s">
        <v>671</v>
      </c>
      <c r="V23" s="386" t="s">
        <v>671</v>
      </c>
      <c r="W23" s="386" t="s">
        <v>671</v>
      </c>
      <c r="X23" s="386" t="s">
        <v>671</v>
      </c>
    </row>
    <row r="24" spans="1:24" s="124" customFormat="1" ht="30.6" hidden="1" x14ac:dyDescent="0.25">
      <c r="A24" s="393" t="s">
        <v>1169</v>
      </c>
      <c r="B24" s="712" t="s">
        <v>1168</v>
      </c>
      <c r="C24" s="390" t="s">
        <v>225</v>
      </c>
      <c r="D24" s="390" t="s">
        <v>225</v>
      </c>
      <c r="E24" s="390" t="s">
        <v>225</v>
      </c>
      <c r="F24" s="390" t="s">
        <v>225</v>
      </c>
      <c r="G24" s="742"/>
      <c r="H24" s="742"/>
      <c r="I24" s="386" t="s">
        <v>793</v>
      </c>
      <c r="J24" s="386" t="s">
        <v>793</v>
      </c>
      <c r="K24" s="386" t="s">
        <v>793</v>
      </c>
      <c r="L24" s="386" t="s">
        <v>793</v>
      </c>
      <c r="M24" s="386" t="s">
        <v>793</v>
      </c>
      <c r="N24" s="386" t="s">
        <v>793</v>
      </c>
      <c r="O24" s="386" t="s">
        <v>793</v>
      </c>
      <c r="P24" s="386" t="s">
        <v>793</v>
      </c>
      <c r="Q24" s="386" t="s">
        <v>793</v>
      </c>
      <c r="R24" s="386" t="s">
        <v>793</v>
      </c>
      <c r="S24" s="386" t="s">
        <v>793</v>
      </c>
      <c r="T24" s="386" t="s">
        <v>793</v>
      </c>
      <c r="U24" s="386" t="s">
        <v>793</v>
      </c>
      <c r="V24" s="386" t="s">
        <v>793</v>
      </c>
      <c r="W24" s="386" t="s">
        <v>793</v>
      </c>
      <c r="X24" s="386" t="s">
        <v>793</v>
      </c>
    </row>
    <row r="25" spans="1:24" s="124" customFormat="1" ht="30.6" hidden="1" x14ac:dyDescent="0.25">
      <c r="A25" s="393" t="s">
        <v>1172</v>
      </c>
      <c r="B25" s="712" t="s">
        <v>1170</v>
      </c>
      <c r="C25" s="390" t="s">
        <v>225</v>
      </c>
      <c r="D25" s="390" t="s">
        <v>225</v>
      </c>
      <c r="E25" s="390" t="s">
        <v>225</v>
      </c>
      <c r="F25" s="390" t="s">
        <v>225</v>
      </c>
      <c r="G25" s="742"/>
      <c r="H25" s="742"/>
      <c r="I25" s="386" t="s">
        <v>671</v>
      </c>
      <c r="J25" s="386" t="s">
        <v>671</v>
      </c>
      <c r="K25" s="386" t="s">
        <v>671</v>
      </c>
      <c r="L25" s="386" t="s">
        <v>671</v>
      </c>
      <c r="M25" s="386" t="s">
        <v>671</v>
      </c>
      <c r="N25" s="386" t="s">
        <v>671</v>
      </c>
      <c r="O25" s="386" t="s">
        <v>671</v>
      </c>
      <c r="P25" s="386" t="s">
        <v>671</v>
      </c>
      <c r="Q25" s="386" t="s">
        <v>671</v>
      </c>
      <c r="R25" s="386" t="s">
        <v>671</v>
      </c>
      <c r="S25" s="386" t="s">
        <v>671</v>
      </c>
      <c r="T25" s="386" t="s">
        <v>671</v>
      </c>
      <c r="U25" s="386" t="s">
        <v>671</v>
      </c>
      <c r="V25" s="386" t="s">
        <v>671</v>
      </c>
      <c r="W25" s="386" t="s">
        <v>671</v>
      </c>
      <c r="X25" s="386" t="s">
        <v>671</v>
      </c>
    </row>
    <row r="26" spans="1:24" s="124" customFormat="1" ht="30.6" hidden="1" x14ac:dyDescent="0.25">
      <c r="A26" s="393" t="s">
        <v>1171</v>
      </c>
      <c r="B26" s="712" t="s">
        <v>1173</v>
      </c>
      <c r="C26" s="390" t="s">
        <v>225</v>
      </c>
      <c r="D26" s="390" t="s">
        <v>225</v>
      </c>
      <c r="E26" s="390" t="s">
        <v>225</v>
      </c>
      <c r="F26" s="390" t="s">
        <v>225</v>
      </c>
      <c r="G26" s="742"/>
      <c r="H26" s="742"/>
      <c r="I26" s="386" t="s">
        <v>671</v>
      </c>
      <c r="J26" s="386" t="s">
        <v>671</v>
      </c>
      <c r="K26" s="386" t="s">
        <v>671</v>
      </c>
      <c r="L26" s="386" t="s">
        <v>671</v>
      </c>
      <c r="M26" s="386" t="s">
        <v>671</v>
      </c>
      <c r="N26" s="386" t="s">
        <v>671</v>
      </c>
      <c r="O26" s="386" t="s">
        <v>671</v>
      </c>
      <c r="P26" s="386" t="s">
        <v>671</v>
      </c>
      <c r="Q26" s="386" t="s">
        <v>671</v>
      </c>
      <c r="R26" s="386" t="s">
        <v>671</v>
      </c>
      <c r="S26" s="386" t="s">
        <v>671</v>
      </c>
      <c r="T26" s="386" t="s">
        <v>671</v>
      </c>
      <c r="U26" s="386" t="s">
        <v>671</v>
      </c>
      <c r="V26" s="386" t="s">
        <v>671</v>
      </c>
      <c r="W26" s="386" t="s">
        <v>671</v>
      </c>
      <c r="X26" s="386" t="s">
        <v>671</v>
      </c>
    </row>
    <row r="27" spans="1:24" s="124" customFormat="1" ht="30.6" hidden="1" x14ac:dyDescent="0.25">
      <c r="A27" s="393" t="s">
        <v>1175</v>
      </c>
      <c r="B27" s="712" t="s">
        <v>1174</v>
      </c>
      <c r="C27" s="390" t="s">
        <v>225</v>
      </c>
      <c r="D27" s="390" t="s">
        <v>225</v>
      </c>
      <c r="E27" s="390" t="s">
        <v>225</v>
      </c>
      <c r="F27" s="390" t="s">
        <v>225</v>
      </c>
      <c r="G27" s="742"/>
      <c r="H27" s="742"/>
      <c r="I27" s="386" t="s">
        <v>1018</v>
      </c>
      <c r="J27" s="668" t="s">
        <v>1159</v>
      </c>
      <c r="K27" s="393" t="s">
        <v>1177</v>
      </c>
      <c r="L27" s="739" t="s">
        <v>1176</v>
      </c>
      <c r="M27" s="392" t="s">
        <v>982</v>
      </c>
      <c r="N27" s="386">
        <v>146227.07999999999</v>
      </c>
      <c r="O27" s="387" t="s">
        <v>4</v>
      </c>
      <c r="P27" s="392" t="s">
        <v>977</v>
      </c>
      <c r="Q27" s="392" t="s">
        <v>977</v>
      </c>
      <c r="R27" s="392" t="s">
        <v>977</v>
      </c>
      <c r="S27" s="741">
        <v>44905100</v>
      </c>
      <c r="T27" s="392">
        <v>0</v>
      </c>
      <c r="U27" s="392">
        <v>0</v>
      </c>
      <c r="V27" s="392">
        <v>0</v>
      </c>
      <c r="W27" s="392">
        <v>0</v>
      </c>
      <c r="X27" s="387" t="s">
        <v>4</v>
      </c>
    </row>
    <row r="28" spans="1:24" s="124" customFormat="1" ht="23.4" hidden="1" x14ac:dyDescent="0.25">
      <c r="A28" s="393" t="s">
        <v>1179</v>
      </c>
      <c r="B28" s="712" t="s">
        <v>1178</v>
      </c>
      <c r="C28" s="390" t="s">
        <v>225</v>
      </c>
      <c r="D28" s="390" t="s">
        <v>225</v>
      </c>
      <c r="E28" s="390" t="s">
        <v>225</v>
      </c>
      <c r="F28" s="390" t="s">
        <v>225</v>
      </c>
      <c r="G28" s="742"/>
      <c r="H28" s="742"/>
      <c r="I28" s="386" t="s">
        <v>1018</v>
      </c>
      <c r="J28" s="668" t="s">
        <v>1159</v>
      </c>
      <c r="K28" s="393" t="s">
        <v>1180</v>
      </c>
      <c r="L28" s="739" t="s">
        <v>1181</v>
      </c>
      <c r="M28" s="392" t="s">
        <v>1182</v>
      </c>
      <c r="N28" s="386">
        <v>70888.960000000006</v>
      </c>
      <c r="O28" s="387" t="s">
        <v>1106</v>
      </c>
      <c r="P28" s="392" t="s">
        <v>977</v>
      </c>
      <c r="Q28" s="392" t="s">
        <v>977</v>
      </c>
      <c r="R28" s="392" t="s">
        <v>977</v>
      </c>
      <c r="S28" s="741">
        <v>44905100</v>
      </c>
      <c r="T28" s="392">
        <v>0</v>
      </c>
      <c r="U28" s="392">
        <v>0</v>
      </c>
      <c r="V28" s="392">
        <v>0</v>
      </c>
      <c r="W28" s="392">
        <v>0</v>
      </c>
      <c r="X28" s="387" t="s">
        <v>1106</v>
      </c>
    </row>
    <row r="29" spans="1:24" s="124" customFormat="1" ht="30.6" hidden="1" x14ac:dyDescent="0.25">
      <c r="A29" s="393" t="s">
        <v>1184</v>
      </c>
      <c r="B29" s="712" t="s">
        <v>1183</v>
      </c>
      <c r="C29" s="390" t="s">
        <v>225</v>
      </c>
      <c r="D29" s="390" t="s">
        <v>225</v>
      </c>
      <c r="E29" s="390" t="s">
        <v>225</v>
      </c>
      <c r="F29" s="390" t="s">
        <v>225</v>
      </c>
      <c r="G29" s="742"/>
      <c r="H29" s="742"/>
      <c r="I29" s="386" t="s">
        <v>671</v>
      </c>
      <c r="J29" s="386" t="s">
        <v>671</v>
      </c>
      <c r="K29" s="386" t="s">
        <v>671</v>
      </c>
      <c r="L29" s="386" t="s">
        <v>671</v>
      </c>
      <c r="M29" s="386" t="s">
        <v>671</v>
      </c>
      <c r="N29" s="386" t="s">
        <v>671</v>
      </c>
      <c r="O29" s="386" t="s">
        <v>671</v>
      </c>
      <c r="P29" s="386" t="s">
        <v>671</v>
      </c>
      <c r="Q29" s="386" t="s">
        <v>671</v>
      </c>
      <c r="R29" s="386" t="s">
        <v>671</v>
      </c>
      <c r="S29" s="386" t="s">
        <v>671</v>
      </c>
      <c r="T29" s="386" t="s">
        <v>671</v>
      </c>
      <c r="U29" s="386" t="s">
        <v>671</v>
      </c>
      <c r="V29" s="386" t="s">
        <v>671</v>
      </c>
      <c r="W29" s="386" t="s">
        <v>671</v>
      </c>
      <c r="X29" s="386" t="s">
        <v>671</v>
      </c>
    </row>
    <row r="30" spans="1:24" s="124" customFormat="1" ht="30.6" hidden="1" x14ac:dyDescent="0.25">
      <c r="A30" s="393" t="s">
        <v>1185</v>
      </c>
      <c r="B30" s="712" t="s">
        <v>1186</v>
      </c>
      <c r="C30" s="390" t="s">
        <v>225</v>
      </c>
      <c r="D30" s="390" t="s">
        <v>225</v>
      </c>
      <c r="E30" s="390" t="s">
        <v>225</v>
      </c>
      <c r="F30" s="390" t="s">
        <v>225</v>
      </c>
      <c r="G30" s="742"/>
      <c r="H30" s="742"/>
      <c r="I30" s="386" t="s">
        <v>1144</v>
      </c>
      <c r="J30" s="668" t="s">
        <v>1143</v>
      </c>
      <c r="K30" s="393" t="s">
        <v>1187</v>
      </c>
      <c r="L30" s="739" t="s">
        <v>1188</v>
      </c>
      <c r="M30" s="392" t="s">
        <v>1023</v>
      </c>
      <c r="N30" s="386">
        <v>33478.04</v>
      </c>
      <c r="O30" s="387" t="s">
        <v>1106</v>
      </c>
      <c r="P30" s="392" t="s">
        <v>977</v>
      </c>
      <c r="Q30" s="392" t="s">
        <v>977</v>
      </c>
      <c r="R30" s="392" t="s">
        <v>977</v>
      </c>
      <c r="S30" s="741">
        <v>44905100</v>
      </c>
      <c r="T30" s="392">
        <v>0</v>
      </c>
      <c r="U30" s="392">
        <v>0</v>
      </c>
      <c r="V30" s="392">
        <v>0</v>
      </c>
      <c r="W30" s="392">
        <v>0</v>
      </c>
      <c r="X30" s="387" t="s">
        <v>1106</v>
      </c>
    </row>
    <row r="31" spans="1:24" s="124" customFormat="1" ht="30.6" hidden="1" x14ac:dyDescent="0.4">
      <c r="A31" s="393" t="s">
        <v>1190</v>
      </c>
      <c r="B31" s="712" t="s">
        <v>1189</v>
      </c>
      <c r="C31" s="390" t="s">
        <v>225</v>
      </c>
      <c r="D31" s="390" t="s">
        <v>225</v>
      </c>
      <c r="E31" s="390" t="s">
        <v>225</v>
      </c>
      <c r="F31" s="390" t="s">
        <v>225</v>
      </c>
      <c r="G31" s="742"/>
      <c r="H31" s="742"/>
      <c r="I31" s="386" t="s">
        <v>1164</v>
      </c>
      <c r="J31" s="668" t="s">
        <v>1163</v>
      </c>
      <c r="K31" s="393" t="s">
        <v>1191</v>
      </c>
      <c r="L31" s="739" t="s">
        <v>1192</v>
      </c>
      <c r="M31" s="392" t="s">
        <v>1023</v>
      </c>
      <c r="N31" s="386">
        <v>13915.32</v>
      </c>
      <c r="O31" s="387" t="s">
        <v>4</v>
      </c>
      <c r="P31" s="392" t="s">
        <v>977</v>
      </c>
      <c r="Q31" s="392" t="s">
        <v>977</v>
      </c>
      <c r="R31" s="392" t="s">
        <v>977</v>
      </c>
      <c r="S31" s="741">
        <v>44905100</v>
      </c>
      <c r="T31" s="392" t="s">
        <v>1193</v>
      </c>
      <c r="U31" s="758"/>
      <c r="V31" s="758"/>
      <c r="W31" s="758"/>
      <c r="X31" s="387" t="s">
        <v>4</v>
      </c>
    </row>
    <row r="32" spans="1:24" s="124" customFormat="1" ht="61.2" hidden="1" x14ac:dyDescent="0.25">
      <c r="A32" s="393" t="s">
        <v>1194</v>
      </c>
      <c r="B32" s="712" t="s">
        <v>1195</v>
      </c>
      <c r="C32" s="390" t="s">
        <v>225</v>
      </c>
      <c r="D32" s="390" t="s">
        <v>225</v>
      </c>
      <c r="E32" s="390" t="s">
        <v>225</v>
      </c>
      <c r="F32" s="390" t="s">
        <v>225</v>
      </c>
      <c r="G32" s="742"/>
      <c r="H32" s="742"/>
      <c r="I32" s="386" t="s">
        <v>1144</v>
      </c>
      <c r="J32" s="668" t="s">
        <v>1143</v>
      </c>
      <c r="K32" s="393" t="s">
        <v>1196</v>
      </c>
      <c r="L32" s="739" t="s">
        <v>1197</v>
      </c>
      <c r="M32" s="392" t="s">
        <v>1023</v>
      </c>
      <c r="N32" s="386">
        <v>10080</v>
      </c>
      <c r="O32" s="392" t="s">
        <v>1198</v>
      </c>
      <c r="P32" s="392" t="s">
        <v>977</v>
      </c>
      <c r="Q32" s="392" t="s">
        <v>977</v>
      </c>
      <c r="R32" s="392" t="s">
        <v>977</v>
      </c>
      <c r="S32" s="741">
        <v>44905100</v>
      </c>
      <c r="T32" s="386">
        <v>10080</v>
      </c>
      <c r="U32" s="386">
        <v>10080</v>
      </c>
      <c r="V32" s="386">
        <v>10080</v>
      </c>
      <c r="W32" s="386">
        <v>10080</v>
      </c>
      <c r="X32" s="387" t="s">
        <v>221</v>
      </c>
    </row>
    <row r="33" spans="1:26" s="124" customFormat="1" ht="52.8" hidden="1" x14ac:dyDescent="0.25">
      <c r="A33" s="393" t="s">
        <v>1200</v>
      </c>
      <c r="B33" s="712" t="s">
        <v>1199</v>
      </c>
      <c r="C33" s="390" t="s">
        <v>225</v>
      </c>
      <c r="D33" s="390" t="s">
        <v>225</v>
      </c>
      <c r="E33" s="390" t="s">
        <v>225</v>
      </c>
      <c r="F33" s="390" t="s">
        <v>225</v>
      </c>
      <c r="G33" s="742"/>
      <c r="H33" s="742"/>
      <c r="I33" s="386" t="s">
        <v>1013</v>
      </c>
      <c r="J33" s="668" t="s">
        <v>1014</v>
      </c>
      <c r="K33" s="393" t="s">
        <v>1201</v>
      </c>
      <c r="L33" s="739" t="s">
        <v>1202</v>
      </c>
      <c r="M33" s="392" t="s">
        <v>976</v>
      </c>
      <c r="N33" s="386">
        <v>125920.63</v>
      </c>
      <c r="O33" s="387" t="s">
        <v>1106</v>
      </c>
      <c r="P33" s="392" t="s">
        <v>977</v>
      </c>
      <c r="Q33" s="392" t="s">
        <v>977</v>
      </c>
      <c r="R33" s="392" t="s">
        <v>977</v>
      </c>
      <c r="S33" s="741">
        <v>44905100</v>
      </c>
      <c r="T33" s="392">
        <v>0</v>
      </c>
      <c r="U33" s="392">
        <v>0</v>
      </c>
      <c r="V33" s="392">
        <v>0</v>
      </c>
      <c r="W33" s="392">
        <v>0</v>
      </c>
      <c r="X33" s="387" t="s">
        <v>1106</v>
      </c>
    </row>
    <row r="34" spans="1:26" s="124" customFormat="1" ht="22.8" hidden="1" x14ac:dyDescent="0.25">
      <c r="A34" s="393" t="s">
        <v>1203</v>
      </c>
      <c r="B34" s="712" t="s">
        <v>1205</v>
      </c>
      <c r="C34" s="390" t="s">
        <v>225</v>
      </c>
      <c r="D34" s="390" t="s">
        <v>225</v>
      </c>
      <c r="E34" s="390" t="s">
        <v>225</v>
      </c>
      <c r="F34" s="390" t="s">
        <v>225</v>
      </c>
      <c r="G34" s="742"/>
      <c r="H34" s="742"/>
      <c r="I34" s="386" t="s">
        <v>1164</v>
      </c>
      <c r="J34" s="668" t="s">
        <v>1163</v>
      </c>
      <c r="K34" s="393" t="s">
        <v>1206</v>
      </c>
      <c r="L34" s="739" t="s">
        <v>1207</v>
      </c>
      <c r="M34" s="392" t="s">
        <v>1023</v>
      </c>
      <c r="N34" s="386">
        <v>10990.7</v>
      </c>
      <c r="O34" s="387" t="s">
        <v>1106</v>
      </c>
      <c r="P34" s="392" t="s">
        <v>977</v>
      </c>
      <c r="Q34" s="392" t="s">
        <v>977</v>
      </c>
      <c r="R34" s="392" t="s">
        <v>977</v>
      </c>
      <c r="S34" s="741">
        <v>44905100</v>
      </c>
      <c r="T34" s="392">
        <v>0</v>
      </c>
      <c r="U34" s="392">
        <v>0</v>
      </c>
      <c r="V34" s="392">
        <v>0</v>
      </c>
      <c r="W34" s="392">
        <v>0</v>
      </c>
      <c r="X34" s="387" t="s">
        <v>1106</v>
      </c>
    </row>
    <row r="35" spans="1:26" s="124" customFormat="1" ht="30.6" hidden="1" x14ac:dyDescent="0.25">
      <c r="A35" s="393" t="s">
        <v>1204</v>
      </c>
      <c r="B35" s="712" t="s">
        <v>1208</v>
      </c>
      <c r="C35" s="390" t="s">
        <v>225</v>
      </c>
      <c r="D35" s="390" t="s">
        <v>225</v>
      </c>
      <c r="E35" s="390" t="s">
        <v>225</v>
      </c>
      <c r="F35" s="390" t="s">
        <v>225</v>
      </c>
      <c r="G35" s="742"/>
      <c r="H35" s="742"/>
      <c r="I35" s="386" t="s">
        <v>1164</v>
      </c>
      <c r="J35" s="668" t="s">
        <v>1163</v>
      </c>
      <c r="K35" s="393" t="s">
        <v>1209</v>
      </c>
      <c r="L35" s="739" t="s">
        <v>1207</v>
      </c>
      <c r="M35" s="392" t="s">
        <v>1023</v>
      </c>
      <c r="N35" s="386">
        <v>8106.88</v>
      </c>
      <c r="O35" s="387">
        <v>42440</v>
      </c>
      <c r="P35" s="392" t="s">
        <v>977</v>
      </c>
      <c r="Q35" s="392" t="s">
        <v>977</v>
      </c>
      <c r="R35" s="392" t="s">
        <v>977</v>
      </c>
      <c r="S35" s="741">
        <v>44905100</v>
      </c>
      <c r="T35" s="386">
        <v>8106.88</v>
      </c>
      <c r="U35" s="386">
        <f>8106.88</f>
        <v>8106.88</v>
      </c>
      <c r="V35" s="386">
        <f>8106.88</f>
        <v>8106.88</v>
      </c>
      <c r="W35" s="386">
        <f>8106.88</f>
        <v>8106.88</v>
      </c>
      <c r="X35" s="387" t="s">
        <v>221</v>
      </c>
    </row>
    <row r="36" spans="1:26" s="124" customFormat="1" ht="30.6" hidden="1" x14ac:dyDescent="0.25">
      <c r="A36" s="393" t="s">
        <v>1148</v>
      </c>
      <c r="B36" s="712" t="s">
        <v>1210</v>
      </c>
      <c r="C36" s="390" t="s">
        <v>225</v>
      </c>
      <c r="D36" s="390" t="s">
        <v>225</v>
      </c>
      <c r="E36" s="390" t="s">
        <v>225</v>
      </c>
      <c r="F36" s="390" t="s">
        <v>225</v>
      </c>
      <c r="G36" s="742"/>
      <c r="H36" s="742"/>
      <c r="I36" s="386" t="s">
        <v>436</v>
      </c>
      <c r="J36" s="386" t="s">
        <v>436</v>
      </c>
      <c r="K36" s="386" t="s">
        <v>436</v>
      </c>
      <c r="L36" s="386" t="s">
        <v>436</v>
      </c>
      <c r="M36" s="386" t="s">
        <v>436</v>
      </c>
      <c r="N36" s="386" t="s">
        <v>436</v>
      </c>
      <c r="O36" s="386" t="s">
        <v>436</v>
      </c>
      <c r="P36" s="386" t="s">
        <v>436</v>
      </c>
      <c r="Q36" s="386" t="s">
        <v>436</v>
      </c>
      <c r="R36" s="386" t="s">
        <v>436</v>
      </c>
      <c r="S36" s="386" t="s">
        <v>436</v>
      </c>
      <c r="T36" s="386" t="s">
        <v>436</v>
      </c>
      <c r="U36" s="386" t="s">
        <v>436</v>
      </c>
      <c r="V36" s="386" t="s">
        <v>436</v>
      </c>
      <c r="W36" s="386" t="s">
        <v>436</v>
      </c>
      <c r="X36" s="386" t="s">
        <v>436</v>
      </c>
    </row>
    <row r="37" spans="1:26" s="124" customFormat="1" ht="30.6" hidden="1" x14ac:dyDescent="0.25">
      <c r="A37" s="393" t="s">
        <v>1212</v>
      </c>
      <c r="B37" s="712" t="s">
        <v>1211</v>
      </c>
      <c r="C37" s="390" t="s">
        <v>225</v>
      </c>
      <c r="D37" s="390" t="s">
        <v>225</v>
      </c>
      <c r="E37" s="390" t="s">
        <v>225</v>
      </c>
      <c r="F37" s="390" t="s">
        <v>225</v>
      </c>
      <c r="G37" s="742"/>
      <c r="H37" s="742"/>
      <c r="I37" s="386" t="s">
        <v>1214</v>
      </c>
      <c r="J37" s="668" t="s">
        <v>1213</v>
      </c>
      <c r="K37" s="393" t="s">
        <v>1215</v>
      </c>
      <c r="L37" s="739" t="s">
        <v>1188</v>
      </c>
      <c r="M37" s="392" t="s">
        <v>1023</v>
      </c>
      <c r="N37" s="386">
        <v>14317.86</v>
      </c>
      <c r="O37" s="387" t="s">
        <v>1106</v>
      </c>
      <c r="P37" s="392" t="s">
        <v>977</v>
      </c>
      <c r="Q37" s="392" t="s">
        <v>977</v>
      </c>
      <c r="R37" s="392" t="s">
        <v>977</v>
      </c>
      <c r="S37" s="741">
        <v>44905100</v>
      </c>
      <c r="T37" s="392">
        <v>0</v>
      </c>
      <c r="U37" s="392">
        <v>0</v>
      </c>
      <c r="V37" s="392">
        <v>0</v>
      </c>
      <c r="W37" s="392">
        <v>0</v>
      </c>
      <c r="X37" s="387" t="s">
        <v>1106</v>
      </c>
    </row>
    <row r="38" spans="1:26" s="124" customFormat="1" ht="40.799999999999997" hidden="1" x14ac:dyDescent="0.25">
      <c r="A38" s="393" t="s">
        <v>1217</v>
      </c>
      <c r="B38" s="712" t="s">
        <v>1216</v>
      </c>
      <c r="C38" s="390" t="s">
        <v>225</v>
      </c>
      <c r="D38" s="390" t="s">
        <v>225</v>
      </c>
      <c r="E38" s="390" t="s">
        <v>225</v>
      </c>
      <c r="F38" s="390" t="s">
        <v>225</v>
      </c>
      <c r="G38" s="742"/>
      <c r="H38" s="742"/>
      <c r="I38" s="386" t="s">
        <v>671</v>
      </c>
      <c r="J38" s="386" t="s">
        <v>671</v>
      </c>
      <c r="K38" s="386" t="s">
        <v>671</v>
      </c>
      <c r="L38" s="386" t="s">
        <v>671</v>
      </c>
      <c r="M38" s="386" t="s">
        <v>671</v>
      </c>
      <c r="N38" s="386" t="s">
        <v>671</v>
      </c>
      <c r="O38" s="386" t="s">
        <v>671</v>
      </c>
      <c r="P38" s="386" t="s">
        <v>671</v>
      </c>
      <c r="Q38" s="386" t="s">
        <v>671</v>
      </c>
      <c r="R38" s="386" t="s">
        <v>671</v>
      </c>
      <c r="S38" s="386" t="s">
        <v>671</v>
      </c>
      <c r="T38" s="386" t="s">
        <v>671</v>
      </c>
      <c r="U38" s="386" t="s">
        <v>671</v>
      </c>
      <c r="V38" s="386" t="s">
        <v>671</v>
      </c>
      <c r="W38" s="386" t="s">
        <v>671</v>
      </c>
      <c r="X38" s="386" t="s">
        <v>671</v>
      </c>
    </row>
    <row r="39" spans="1:26" s="124" customFormat="1" ht="30.6" hidden="1" x14ac:dyDescent="0.25">
      <c r="A39" s="393" t="s">
        <v>1148</v>
      </c>
      <c r="B39" s="712" t="s">
        <v>1210</v>
      </c>
      <c r="C39" s="390" t="s">
        <v>225</v>
      </c>
      <c r="D39" s="390" t="s">
        <v>225</v>
      </c>
      <c r="E39" s="390" t="s">
        <v>225</v>
      </c>
      <c r="F39" s="390" t="s">
        <v>225</v>
      </c>
      <c r="G39" s="742"/>
      <c r="H39" s="742"/>
      <c r="I39" s="386" t="s">
        <v>671</v>
      </c>
      <c r="J39" s="386" t="s">
        <v>671</v>
      </c>
      <c r="K39" s="386" t="s">
        <v>671</v>
      </c>
      <c r="L39" s="386" t="s">
        <v>671</v>
      </c>
      <c r="M39" s="386" t="s">
        <v>671</v>
      </c>
      <c r="N39" s="386" t="s">
        <v>671</v>
      </c>
      <c r="O39" s="386" t="s">
        <v>671</v>
      </c>
      <c r="P39" s="386" t="s">
        <v>671</v>
      </c>
      <c r="Q39" s="386" t="s">
        <v>671</v>
      </c>
      <c r="R39" s="386" t="s">
        <v>671</v>
      </c>
      <c r="S39" s="386" t="s">
        <v>671</v>
      </c>
      <c r="T39" s="386" t="s">
        <v>671</v>
      </c>
      <c r="U39" s="386" t="s">
        <v>671</v>
      </c>
      <c r="V39" s="386" t="s">
        <v>671</v>
      </c>
      <c r="W39" s="386" t="s">
        <v>671</v>
      </c>
      <c r="X39" s="386" t="s">
        <v>671</v>
      </c>
    </row>
    <row r="40" spans="1:26" s="124" customFormat="1" ht="30.6" hidden="1" x14ac:dyDescent="0.25">
      <c r="A40" s="393" t="s">
        <v>1219</v>
      </c>
      <c r="B40" s="712" t="s">
        <v>1218</v>
      </c>
      <c r="C40" s="390" t="s">
        <v>225</v>
      </c>
      <c r="D40" s="390" t="s">
        <v>225</v>
      </c>
      <c r="E40" s="390" t="s">
        <v>225</v>
      </c>
      <c r="F40" s="390" t="s">
        <v>225</v>
      </c>
      <c r="G40" s="742"/>
      <c r="H40" s="742"/>
      <c r="I40" s="386" t="s">
        <v>671</v>
      </c>
      <c r="J40" s="386" t="s">
        <v>671</v>
      </c>
      <c r="K40" s="386" t="s">
        <v>671</v>
      </c>
      <c r="L40" s="386" t="s">
        <v>671</v>
      </c>
      <c r="M40" s="386" t="s">
        <v>671</v>
      </c>
      <c r="N40" s="386" t="s">
        <v>671</v>
      </c>
      <c r="O40" s="386" t="s">
        <v>671</v>
      </c>
      <c r="P40" s="386" t="s">
        <v>671</v>
      </c>
      <c r="Q40" s="386" t="s">
        <v>671</v>
      </c>
      <c r="R40" s="386" t="s">
        <v>671</v>
      </c>
      <c r="S40" s="386" t="s">
        <v>671</v>
      </c>
      <c r="T40" s="386" t="s">
        <v>671</v>
      </c>
      <c r="U40" s="386" t="s">
        <v>671</v>
      </c>
      <c r="V40" s="386" t="s">
        <v>671</v>
      </c>
      <c r="W40" s="386" t="s">
        <v>671</v>
      </c>
      <c r="X40" s="386" t="s">
        <v>671</v>
      </c>
    </row>
    <row r="41" spans="1:26" s="129" customFormat="1" ht="22.8" x14ac:dyDescent="0.4">
      <c r="A41" s="749"/>
      <c r="B41" s="988" t="s">
        <v>589</v>
      </c>
      <c r="C41" s="988"/>
      <c r="D41" s="988"/>
      <c r="E41" s="988"/>
      <c r="F41" s="988"/>
      <c r="G41" s="988"/>
      <c r="H41" s="988"/>
      <c r="I41" s="988"/>
      <c r="J41" s="988"/>
      <c r="K41" s="989"/>
      <c r="L41" s="750"/>
      <c r="M41" s="750"/>
      <c r="N41" s="750"/>
      <c r="O41" s="750"/>
      <c r="P41" s="750"/>
      <c r="Q41" s="750"/>
      <c r="R41" s="750"/>
      <c r="S41" s="750"/>
      <c r="T41" s="750"/>
      <c r="U41" s="751"/>
      <c r="V41" s="752"/>
      <c r="W41" s="752"/>
      <c r="X41" s="752"/>
    </row>
    <row r="42" spans="1:26" s="129" customFormat="1" ht="22.8" x14ac:dyDescent="0.4">
      <c r="A42" s="753"/>
      <c r="B42" s="990" t="s">
        <v>364</v>
      </c>
      <c r="C42" s="990"/>
      <c r="D42" s="990"/>
      <c r="E42" s="990"/>
      <c r="F42" s="990"/>
      <c r="G42" s="990"/>
      <c r="H42" s="990"/>
      <c r="I42" s="990"/>
      <c r="J42" s="990"/>
      <c r="K42" s="991"/>
      <c r="L42" s="754"/>
      <c r="M42" s="754"/>
      <c r="N42" s="754"/>
      <c r="O42" s="754"/>
      <c r="P42" s="754"/>
      <c r="Q42" s="754"/>
      <c r="R42" s="754"/>
      <c r="S42" s="754"/>
      <c r="T42" s="754"/>
      <c r="U42" s="724"/>
      <c r="V42" s="724"/>
      <c r="W42" s="724"/>
      <c r="X42" s="724"/>
    </row>
    <row r="43" spans="1:26" s="770" customFormat="1" ht="30.6" x14ac:dyDescent="0.25">
      <c r="A43" s="759" t="s">
        <v>608</v>
      </c>
      <c r="B43" s="760" t="s">
        <v>607</v>
      </c>
      <c r="C43" s="761" t="s">
        <v>225</v>
      </c>
      <c r="D43" s="761" t="s">
        <v>225</v>
      </c>
      <c r="E43" s="761" t="s">
        <v>225</v>
      </c>
      <c r="F43" s="761" t="s">
        <v>225</v>
      </c>
      <c r="G43" s="761"/>
      <c r="H43" s="762"/>
      <c r="I43" s="763" t="s">
        <v>943</v>
      </c>
      <c r="J43" s="764" t="s">
        <v>942</v>
      </c>
      <c r="K43" s="759" t="s">
        <v>606</v>
      </c>
      <c r="L43" s="765" t="s">
        <v>983</v>
      </c>
      <c r="M43" s="766" t="s">
        <v>984</v>
      </c>
      <c r="N43" s="763">
        <v>7621.55</v>
      </c>
      <c r="O43" s="767">
        <v>42177</v>
      </c>
      <c r="P43" s="763" t="s">
        <v>1116</v>
      </c>
      <c r="Q43" s="392" t="s">
        <v>977</v>
      </c>
      <c r="R43" s="766" t="s">
        <v>977</v>
      </c>
      <c r="S43" s="768">
        <v>44905100</v>
      </c>
      <c r="T43" s="766">
        <v>3067.81</v>
      </c>
      <c r="U43" s="766">
        <v>0</v>
      </c>
      <c r="V43" s="766">
        <v>0</v>
      </c>
      <c r="W43" s="766">
        <v>3067.81</v>
      </c>
      <c r="X43" s="769" t="s">
        <v>221</v>
      </c>
      <c r="Z43" s="771" t="s">
        <v>1102</v>
      </c>
    </row>
    <row r="44" spans="1:26" s="783" customFormat="1" ht="20.399999999999999" x14ac:dyDescent="0.25">
      <c r="A44" s="772" t="s">
        <v>615</v>
      </c>
      <c r="B44" s="773" t="s">
        <v>614</v>
      </c>
      <c r="C44" s="774" t="s">
        <v>225</v>
      </c>
      <c r="D44" s="774" t="s">
        <v>225</v>
      </c>
      <c r="E44" s="774" t="s">
        <v>225</v>
      </c>
      <c r="F44" s="774" t="s">
        <v>225</v>
      </c>
      <c r="G44" s="774"/>
      <c r="H44" s="775"/>
      <c r="I44" s="776" t="s">
        <v>941</v>
      </c>
      <c r="J44" s="777" t="s">
        <v>939</v>
      </c>
      <c r="K44" s="772" t="s">
        <v>609</v>
      </c>
      <c r="L44" s="778" t="s">
        <v>985</v>
      </c>
      <c r="M44" s="779" t="s">
        <v>984</v>
      </c>
      <c r="N44" s="776">
        <v>9709.4599999999991</v>
      </c>
      <c r="O44" s="780">
        <v>42083</v>
      </c>
      <c r="P44" s="779" t="s">
        <v>977</v>
      </c>
      <c r="Q44" s="779" t="s">
        <v>977</v>
      </c>
      <c r="R44" s="779" t="s">
        <v>977</v>
      </c>
      <c r="S44" s="781">
        <v>44905100</v>
      </c>
      <c r="T44" s="779">
        <v>0</v>
      </c>
      <c r="U44" s="779">
        <v>0</v>
      </c>
      <c r="V44" s="779">
        <v>0</v>
      </c>
      <c r="W44" s="779">
        <v>0</v>
      </c>
      <c r="X44" s="782" t="s">
        <v>1106</v>
      </c>
      <c r="Z44" s="784" t="s">
        <v>1102</v>
      </c>
    </row>
    <row r="45" spans="1:26" s="129" customFormat="1" ht="51" x14ac:dyDescent="0.25">
      <c r="A45" s="189" t="s">
        <v>620</v>
      </c>
      <c r="B45" s="696" t="s">
        <v>619</v>
      </c>
      <c r="C45" s="190" t="s">
        <v>225</v>
      </c>
      <c r="D45" s="190" t="s">
        <v>225</v>
      </c>
      <c r="E45" s="190" t="s">
        <v>225</v>
      </c>
      <c r="F45" s="190" t="s">
        <v>225</v>
      </c>
      <c r="G45" s="190"/>
      <c r="H45" s="495"/>
      <c r="I45" s="188" t="s">
        <v>978</v>
      </c>
      <c r="J45" s="305" t="s">
        <v>570</v>
      </c>
      <c r="K45" s="187" t="s">
        <v>621</v>
      </c>
      <c r="L45" s="701" t="s">
        <v>979</v>
      </c>
      <c r="M45" s="305" t="s">
        <v>980</v>
      </c>
      <c r="N45" s="188">
        <v>361985.32</v>
      </c>
      <c r="O45" s="305" t="s">
        <v>641</v>
      </c>
      <c r="P45" s="305" t="s">
        <v>980</v>
      </c>
      <c r="Q45" s="708" t="s">
        <v>981</v>
      </c>
      <c r="R45" s="305" t="s">
        <v>977</v>
      </c>
      <c r="S45" s="707">
        <v>44905100</v>
      </c>
      <c r="T45" s="305">
        <v>153542.33000000002</v>
      </c>
      <c r="U45" s="305">
        <f>11062.39</f>
        <v>11062.39</v>
      </c>
      <c r="V45" s="785">
        <f>35811.1+22862.1+27064.47+41618.5</f>
        <v>127356.17</v>
      </c>
      <c r="W45" s="305">
        <f>V45+U45</f>
        <v>138418.56</v>
      </c>
      <c r="X45" s="187" t="s">
        <v>4</v>
      </c>
      <c r="Z45" s="185" t="s">
        <v>1102</v>
      </c>
    </row>
    <row r="46" spans="1:26" s="129" customFormat="1" ht="40.799999999999997" x14ac:dyDescent="0.25">
      <c r="A46" s="189" t="s">
        <v>623</v>
      </c>
      <c r="B46" s="696" t="s">
        <v>622</v>
      </c>
      <c r="C46" s="190" t="s">
        <v>225</v>
      </c>
      <c r="D46" s="190" t="s">
        <v>225</v>
      </c>
      <c r="E46" s="190" t="s">
        <v>225</v>
      </c>
      <c r="F46" s="190" t="s">
        <v>225</v>
      </c>
      <c r="G46" s="190"/>
      <c r="H46" s="495"/>
      <c r="I46" s="188" t="s">
        <v>986</v>
      </c>
      <c r="J46" s="187" t="s">
        <v>1246</v>
      </c>
      <c r="K46" s="189" t="s">
        <v>624</v>
      </c>
      <c r="L46" s="701" t="s">
        <v>988</v>
      </c>
      <c r="M46" s="305" t="s">
        <v>982</v>
      </c>
      <c r="N46" s="188">
        <v>147505.04999999999</v>
      </c>
      <c r="O46" s="305" t="s">
        <v>641</v>
      </c>
      <c r="P46" s="188" t="s">
        <v>989</v>
      </c>
      <c r="Q46" s="305" t="s">
        <v>977</v>
      </c>
      <c r="R46" s="305" t="s">
        <v>977</v>
      </c>
      <c r="S46" s="707">
        <v>44905100</v>
      </c>
      <c r="T46" s="305">
        <v>88503.03</v>
      </c>
      <c r="U46" s="305">
        <f>88503.03</f>
        <v>88503.03</v>
      </c>
      <c r="V46" s="305">
        <v>88503.03</v>
      </c>
      <c r="W46" s="305">
        <v>88503.03</v>
      </c>
      <c r="X46" s="187" t="s">
        <v>4</v>
      </c>
      <c r="Z46" s="185" t="s">
        <v>1102</v>
      </c>
    </row>
    <row r="47" spans="1:26" s="721" customFormat="1" ht="22.8" x14ac:dyDescent="0.4">
      <c r="A47" s="724"/>
      <c r="B47" s="990" t="s">
        <v>807</v>
      </c>
      <c r="C47" s="990"/>
      <c r="D47" s="990"/>
      <c r="E47" s="990"/>
      <c r="F47" s="990"/>
      <c r="G47" s="990"/>
      <c r="H47" s="990"/>
      <c r="I47" s="990"/>
      <c r="J47" s="990"/>
      <c r="K47" s="990"/>
      <c r="L47" s="723"/>
      <c r="M47" s="723"/>
      <c r="N47" s="723"/>
      <c r="O47" s="723"/>
      <c r="P47" s="723"/>
      <c r="Q47" s="723"/>
      <c r="R47" s="723"/>
      <c r="S47" s="723"/>
      <c r="T47" s="723"/>
      <c r="U47" s="724"/>
      <c r="V47" s="724"/>
      <c r="W47" s="724"/>
      <c r="X47" s="724"/>
    </row>
    <row r="48" spans="1:26" s="129" customFormat="1" ht="40.799999999999997" x14ac:dyDescent="0.25">
      <c r="A48" s="190" t="s">
        <v>642</v>
      </c>
      <c r="B48" s="696" t="s">
        <v>640</v>
      </c>
      <c r="C48" s="190" t="s">
        <v>225</v>
      </c>
      <c r="D48" s="190" t="s">
        <v>225</v>
      </c>
      <c r="E48" s="190" t="s">
        <v>225</v>
      </c>
      <c r="F48" s="190" t="s">
        <v>225</v>
      </c>
      <c r="G48" s="190"/>
      <c r="H48" s="495"/>
      <c r="I48" s="188" t="s">
        <v>941</v>
      </c>
      <c r="J48" s="187" t="s">
        <v>939</v>
      </c>
      <c r="K48" s="189" t="s">
        <v>636</v>
      </c>
      <c r="L48" s="701" t="s">
        <v>991</v>
      </c>
      <c r="M48" s="705" t="s">
        <v>984</v>
      </c>
      <c r="N48" s="705">
        <v>14046.58</v>
      </c>
      <c r="O48" s="706">
        <v>42172</v>
      </c>
      <c r="P48" s="305" t="s">
        <v>977</v>
      </c>
      <c r="Q48" s="305" t="s">
        <v>977</v>
      </c>
      <c r="R48" s="305" t="s">
        <v>977</v>
      </c>
      <c r="S48" s="707">
        <v>44905100</v>
      </c>
      <c r="T48" s="705">
        <v>8262.7099999999991</v>
      </c>
      <c r="U48" s="705">
        <v>8262.7099999999991</v>
      </c>
      <c r="V48" s="705">
        <v>8262.7099999999991</v>
      </c>
      <c r="W48" s="705">
        <v>8262.7099999999991</v>
      </c>
      <c r="X48" s="691" t="s">
        <v>221</v>
      </c>
      <c r="Z48" s="185" t="s">
        <v>1102</v>
      </c>
    </row>
    <row r="49" spans="1:27" s="129" customFormat="1" ht="20.399999999999999" x14ac:dyDescent="0.25">
      <c r="A49" s="190" t="s">
        <v>655</v>
      </c>
      <c r="B49" s="696" t="s">
        <v>654</v>
      </c>
      <c r="C49" s="190" t="s">
        <v>225</v>
      </c>
      <c r="D49" s="190" t="s">
        <v>225</v>
      </c>
      <c r="E49" s="190" t="s">
        <v>225</v>
      </c>
      <c r="F49" s="190" t="s">
        <v>225</v>
      </c>
      <c r="G49" s="190"/>
      <c r="H49" s="495"/>
      <c r="I49" s="189" t="s">
        <v>992</v>
      </c>
      <c r="J49" s="189" t="s">
        <v>569</v>
      </c>
      <c r="K49" s="189" t="s">
        <v>633</v>
      </c>
      <c r="L49" s="189" t="s">
        <v>993</v>
      </c>
      <c r="M49" s="189" t="s">
        <v>980</v>
      </c>
      <c r="N49" s="189" t="s">
        <v>656</v>
      </c>
      <c r="O49" s="189" t="s">
        <v>1114</v>
      </c>
      <c r="P49" s="189" t="s">
        <v>980</v>
      </c>
      <c r="Q49" s="189" t="s">
        <v>997</v>
      </c>
      <c r="R49" s="189" t="s">
        <v>977</v>
      </c>
      <c r="S49" s="189" t="s">
        <v>995</v>
      </c>
      <c r="T49" s="189" t="s">
        <v>998</v>
      </c>
      <c r="U49" s="189" t="s">
        <v>644</v>
      </c>
      <c r="V49" s="189" t="s">
        <v>644</v>
      </c>
      <c r="W49" s="189" t="s">
        <v>644</v>
      </c>
      <c r="X49" s="495" t="s">
        <v>4</v>
      </c>
      <c r="Z49" s="185" t="s">
        <v>1102</v>
      </c>
      <c r="AA49" s="185" t="s">
        <v>1105</v>
      </c>
    </row>
    <row r="50" spans="1:27" s="129" customFormat="1" ht="30.6" x14ac:dyDescent="0.25">
      <c r="A50" s="190" t="s">
        <v>659</v>
      </c>
      <c r="B50" s="696" t="s">
        <v>1097</v>
      </c>
      <c r="C50" s="190" t="s">
        <v>225</v>
      </c>
      <c r="D50" s="190" t="s">
        <v>225</v>
      </c>
      <c r="E50" s="190" t="s">
        <v>225</v>
      </c>
      <c r="F50" s="190" t="s">
        <v>225</v>
      </c>
      <c r="G50" s="190"/>
      <c r="H50" s="495"/>
      <c r="I50" s="188" t="s">
        <v>941</v>
      </c>
      <c r="J50" s="187" t="s">
        <v>939</v>
      </c>
      <c r="K50" s="189" t="s">
        <v>639</v>
      </c>
      <c r="L50" s="189" t="s">
        <v>994</v>
      </c>
      <c r="M50" s="189" t="s">
        <v>980</v>
      </c>
      <c r="N50" s="189" t="s">
        <v>660</v>
      </c>
      <c r="O50" s="189" t="s">
        <v>641</v>
      </c>
      <c r="P50" s="189" t="s">
        <v>980</v>
      </c>
      <c r="Q50" s="189" t="s">
        <v>996</v>
      </c>
      <c r="R50" s="189" t="s">
        <v>977</v>
      </c>
      <c r="S50" s="189" t="s">
        <v>995</v>
      </c>
      <c r="T50" s="705">
        <f>245827.96+74726.77+30124.2</f>
        <v>350678.93</v>
      </c>
      <c r="U50" s="705">
        <f t="shared" ref="U50:W50" si="0">245827.96+74726.77+30124.2</f>
        <v>350678.93</v>
      </c>
      <c r="V50" s="705">
        <f t="shared" si="0"/>
        <v>350678.93</v>
      </c>
      <c r="W50" s="705">
        <f t="shared" si="0"/>
        <v>350678.93</v>
      </c>
      <c r="X50" s="495" t="s">
        <v>4</v>
      </c>
      <c r="Z50" s="185" t="s">
        <v>1102</v>
      </c>
    </row>
    <row r="51" spans="1:27" s="129" customFormat="1" ht="30.6" x14ac:dyDescent="0.25">
      <c r="A51" s="190" t="s">
        <v>667</v>
      </c>
      <c r="B51" s="696" t="s">
        <v>666</v>
      </c>
      <c r="C51" s="190" t="s">
        <v>225</v>
      </c>
      <c r="D51" s="190" t="s">
        <v>225</v>
      </c>
      <c r="E51" s="190" t="s">
        <v>225</v>
      </c>
      <c r="F51" s="190" t="s">
        <v>225</v>
      </c>
      <c r="G51" s="190"/>
      <c r="H51" s="495"/>
      <c r="I51" s="188" t="s">
        <v>926</v>
      </c>
      <c r="J51" s="187" t="s">
        <v>549</v>
      </c>
      <c r="K51" s="189" t="s">
        <v>648</v>
      </c>
      <c r="L51" s="189" t="s">
        <v>999</v>
      </c>
      <c r="M51" s="705" t="s">
        <v>976</v>
      </c>
      <c r="N51" s="705">
        <v>343478.55</v>
      </c>
      <c r="O51" s="189" t="s">
        <v>641</v>
      </c>
      <c r="P51" s="188" t="s">
        <v>1115</v>
      </c>
      <c r="Q51" s="189" t="s">
        <v>1113</v>
      </c>
      <c r="R51" s="189" t="s">
        <v>977</v>
      </c>
      <c r="S51" s="189" t="s">
        <v>995</v>
      </c>
      <c r="T51" s="705"/>
      <c r="U51" s="705">
        <f>21149.6+37046.32+15457+25000</f>
        <v>98652.92</v>
      </c>
      <c r="V51" s="705">
        <f>U51</f>
        <v>98652.92</v>
      </c>
      <c r="W51" s="705">
        <f>71207.97+214074.63+V51</f>
        <v>383935.51999999996</v>
      </c>
      <c r="X51" s="495" t="s">
        <v>4</v>
      </c>
      <c r="Z51" s="185" t="s">
        <v>1107</v>
      </c>
      <c r="AA51" s="427">
        <f>W51-T51</f>
        <v>383935.51999999996</v>
      </c>
    </row>
    <row r="52" spans="1:27" s="129" customFormat="1" ht="30.6" x14ac:dyDescent="0.25">
      <c r="A52" s="190" t="s">
        <v>675</v>
      </c>
      <c r="B52" s="696" t="s">
        <v>674</v>
      </c>
      <c r="C52" s="190" t="s">
        <v>225</v>
      </c>
      <c r="D52" s="190" t="s">
        <v>225</v>
      </c>
      <c r="E52" s="190" t="s">
        <v>225</v>
      </c>
      <c r="F52" s="190" t="s">
        <v>225</v>
      </c>
      <c r="G52" s="190"/>
      <c r="H52" s="495"/>
      <c r="I52" s="189" t="s">
        <v>1000</v>
      </c>
      <c r="J52" s="189" t="s">
        <v>554</v>
      </c>
      <c r="K52" s="187" t="s">
        <v>684</v>
      </c>
      <c r="L52" s="189" t="s">
        <v>1001</v>
      </c>
      <c r="M52" s="189" t="s">
        <v>1002</v>
      </c>
      <c r="N52" s="189" t="s">
        <v>794</v>
      </c>
      <c r="O52" s="189" t="s">
        <v>598</v>
      </c>
      <c r="P52" s="189" t="s">
        <v>598</v>
      </c>
      <c r="Q52" s="189" t="s">
        <v>598</v>
      </c>
      <c r="R52" s="189" t="s">
        <v>598</v>
      </c>
      <c r="S52" s="189" t="s">
        <v>598</v>
      </c>
      <c r="T52" s="189" t="s">
        <v>598</v>
      </c>
      <c r="U52" s="189" t="s">
        <v>598</v>
      </c>
      <c r="V52" s="189" t="s">
        <v>598</v>
      </c>
      <c r="W52" s="189" t="s">
        <v>598</v>
      </c>
      <c r="X52" s="189" t="s">
        <v>598</v>
      </c>
      <c r="Z52" s="185" t="s">
        <v>1102</v>
      </c>
    </row>
    <row r="53" spans="1:27" s="129" customFormat="1" ht="20.399999999999999" x14ac:dyDescent="0.25">
      <c r="A53" s="190" t="s">
        <v>678</v>
      </c>
      <c r="B53" s="696" t="s">
        <v>677</v>
      </c>
      <c r="C53" s="190" t="s">
        <v>225</v>
      </c>
      <c r="D53" s="190" t="s">
        <v>225</v>
      </c>
      <c r="E53" s="190" t="s">
        <v>225</v>
      </c>
      <c r="F53" s="190" t="s">
        <v>225</v>
      </c>
      <c r="G53" s="190"/>
      <c r="H53" s="495"/>
      <c r="I53" s="188" t="s">
        <v>926</v>
      </c>
      <c r="J53" s="187" t="s">
        <v>549</v>
      </c>
      <c r="K53" s="187" t="s">
        <v>657</v>
      </c>
      <c r="L53" s="189" t="s">
        <v>1029</v>
      </c>
      <c r="M53" s="189" t="s">
        <v>976</v>
      </c>
      <c r="N53" s="189" t="s">
        <v>679</v>
      </c>
      <c r="O53" s="189" t="s">
        <v>598</v>
      </c>
      <c r="P53" s="189" t="s">
        <v>598</v>
      </c>
      <c r="Q53" s="189" t="s">
        <v>598</v>
      </c>
      <c r="R53" s="189" t="s">
        <v>598</v>
      </c>
      <c r="S53" s="189" t="s">
        <v>598</v>
      </c>
      <c r="T53" s="189" t="s">
        <v>598</v>
      </c>
      <c r="U53" s="189" t="s">
        <v>598</v>
      </c>
      <c r="V53" s="189" t="s">
        <v>598</v>
      </c>
      <c r="W53" s="189" t="s">
        <v>598</v>
      </c>
      <c r="X53" s="189" t="s">
        <v>598</v>
      </c>
      <c r="Z53" s="185" t="s">
        <v>1102</v>
      </c>
    </row>
    <row r="54" spans="1:27" s="124" customFormat="1" ht="40.799999999999997" x14ac:dyDescent="0.25">
      <c r="A54" s="390" t="s">
        <v>686</v>
      </c>
      <c r="B54" s="712" t="s">
        <v>685</v>
      </c>
      <c r="C54" s="390" t="s">
        <v>225</v>
      </c>
      <c r="D54" s="390" t="s">
        <v>225</v>
      </c>
      <c r="E54" s="390" t="s">
        <v>225</v>
      </c>
      <c r="F54" s="390" t="s">
        <v>225</v>
      </c>
      <c r="G54" s="390"/>
      <c r="H54" s="391"/>
      <c r="I54" s="386" t="s">
        <v>941</v>
      </c>
      <c r="J54" s="668" t="s">
        <v>939</v>
      </c>
      <c r="K54" s="393" t="s">
        <v>665</v>
      </c>
      <c r="L54" s="393" t="s">
        <v>1003</v>
      </c>
      <c r="M54" s="704" t="s">
        <v>1002</v>
      </c>
      <c r="N54" s="393" t="s">
        <v>687</v>
      </c>
      <c r="O54" s="668" t="s">
        <v>641</v>
      </c>
      <c r="P54" s="704" t="s">
        <v>1002</v>
      </c>
      <c r="Q54" s="668" t="s">
        <v>1004</v>
      </c>
      <c r="R54" s="704" t="s">
        <v>977</v>
      </c>
      <c r="S54" s="393" t="s">
        <v>995</v>
      </c>
      <c r="T54" s="704">
        <f>18825.68+20161.87+101196.54+152091.76+23622.38+25411.7+15565.34</f>
        <v>356875.27</v>
      </c>
      <c r="U54" s="704">
        <f>10000+8232.2+27937.72+44865.61+78100.55+27040.89</f>
        <v>196176.97000000003</v>
      </c>
      <c r="V54" s="704">
        <f>U54</f>
        <v>196176.97000000003</v>
      </c>
      <c r="W54" s="704">
        <f>T54+V54</f>
        <v>553052.24</v>
      </c>
      <c r="X54" s="391" t="s">
        <v>4</v>
      </c>
      <c r="Z54" s="457" t="s">
        <v>1102</v>
      </c>
    </row>
    <row r="55" spans="1:27" s="129" customFormat="1" ht="30.6" x14ac:dyDescent="0.25">
      <c r="A55" s="190" t="s">
        <v>693</v>
      </c>
      <c r="B55" s="696" t="s">
        <v>692</v>
      </c>
      <c r="C55" s="190" t="s">
        <v>225</v>
      </c>
      <c r="D55" s="190" t="s">
        <v>225</v>
      </c>
      <c r="E55" s="190" t="s">
        <v>225</v>
      </c>
      <c r="F55" s="190" t="s">
        <v>225</v>
      </c>
      <c r="G55" s="190"/>
      <c r="H55" s="495"/>
      <c r="I55" s="188" t="s">
        <v>941</v>
      </c>
      <c r="J55" s="187" t="s">
        <v>939</v>
      </c>
      <c r="K55" s="189" t="s">
        <v>669</v>
      </c>
      <c r="L55" s="189" t="s">
        <v>1003</v>
      </c>
      <c r="M55" s="705" t="s">
        <v>976</v>
      </c>
      <c r="N55" s="189" t="s">
        <v>694</v>
      </c>
      <c r="O55" s="705" t="s">
        <v>641</v>
      </c>
      <c r="P55" s="188" t="s">
        <v>1115</v>
      </c>
      <c r="Q55" s="187" t="s">
        <v>1005</v>
      </c>
      <c r="R55" s="705" t="s">
        <v>977</v>
      </c>
      <c r="S55" s="189" t="s">
        <v>995</v>
      </c>
      <c r="T55" s="705">
        <v>175041.76</v>
      </c>
      <c r="U55" s="705">
        <v>167706</v>
      </c>
      <c r="V55" s="705">
        <v>175041.76</v>
      </c>
      <c r="W55" s="705">
        <v>175041.76</v>
      </c>
      <c r="X55" s="495" t="s">
        <v>4</v>
      </c>
      <c r="Z55" s="185" t="s">
        <v>1102</v>
      </c>
    </row>
    <row r="56" spans="1:27" s="129" customFormat="1" ht="30.6" x14ac:dyDescent="0.25">
      <c r="A56" s="190" t="s">
        <v>700</v>
      </c>
      <c r="B56" s="696" t="s">
        <v>699</v>
      </c>
      <c r="C56" s="190" t="s">
        <v>225</v>
      </c>
      <c r="D56" s="190" t="s">
        <v>225</v>
      </c>
      <c r="E56" s="190" t="s">
        <v>225</v>
      </c>
      <c r="F56" s="190" t="s">
        <v>225</v>
      </c>
      <c r="G56" s="190"/>
      <c r="H56" s="495"/>
      <c r="I56" s="187" t="s">
        <v>671</v>
      </c>
      <c r="J56" s="187" t="s">
        <v>671</v>
      </c>
      <c r="K56" s="187" t="s">
        <v>671</v>
      </c>
      <c r="L56" s="187" t="s">
        <v>671</v>
      </c>
      <c r="M56" s="187" t="s">
        <v>671</v>
      </c>
      <c r="N56" s="187" t="s">
        <v>671</v>
      </c>
      <c r="O56" s="187" t="s">
        <v>671</v>
      </c>
      <c r="P56" s="187" t="s">
        <v>671</v>
      </c>
      <c r="Q56" s="187" t="s">
        <v>671</v>
      </c>
      <c r="R56" s="187" t="s">
        <v>671</v>
      </c>
      <c r="S56" s="187" t="s">
        <v>671</v>
      </c>
      <c r="T56" s="187" t="s">
        <v>671</v>
      </c>
      <c r="U56" s="187" t="s">
        <v>671</v>
      </c>
      <c r="V56" s="187" t="s">
        <v>671</v>
      </c>
      <c r="W56" s="187" t="s">
        <v>671</v>
      </c>
      <c r="X56" s="187" t="s">
        <v>671</v>
      </c>
      <c r="Z56" s="185" t="s">
        <v>1102</v>
      </c>
    </row>
    <row r="57" spans="1:27" s="129" customFormat="1" ht="30.6" x14ac:dyDescent="0.25">
      <c r="A57" s="190" t="s">
        <v>704</v>
      </c>
      <c r="B57" s="696" t="s">
        <v>703</v>
      </c>
      <c r="C57" s="190" t="s">
        <v>225</v>
      </c>
      <c r="D57" s="190" t="s">
        <v>225</v>
      </c>
      <c r="E57" s="190" t="s">
        <v>225</v>
      </c>
      <c r="F57" s="190" t="s">
        <v>225</v>
      </c>
      <c r="G57" s="190"/>
      <c r="H57" s="495"/>
      <c r="I57" s="705" t="s">
        <v>1006</v>
      </c>
      <c r="J57" s="187" t="s">
        <v>1007</v>
      </c>
      <c r="K57" s="189" t="s">
        <v>673</v>
      </c>
      <c r="L57" s="189" t="s">
        <v>1008</v>
      </c>
      <c r="M57" s="705" t="s">
        <v>976</v>
      </c>
      <c r="N57" s="705">
        <v>67408.289999999994</v>
      </c>
      <c r="O57" s="705" t="s">
        <v>641</v>
      </c>
      <c r="P57" s="705" t="s">
        <v>976</v>
      </c>
      <c r="Q57" s="705" t="s">
        <v>977</v>
      </c>
      <c r="R57" s="705" t="s">
        <v>977</v>
      </c>
      <c r="S57" s="189" t="s">
        <v>995</v>
      </c>
      <c r="T57" s="705"/>
      <c r="U57" s="705">
        <f>25680.44+6463.11+7938.39</f>
        <v>40081.94</v>
      </c>
      <c r="V57" s="705">
        <f>25680.44+6463.11+7938.39</f>
        <v>40081.94</v>
      </c>
      <c r="W57" s="705">
        <f>16650.02+7179.26+V57</f>
        <v>63911.22</v>
      </c>
      <c r="X57" s="495" t="s">
        <v>4</v>
      </c>
      <c r="Z57" s="185" t="s">
        <v>1102</v>
      </c>
    </row>
    <row r="58" spans="1:27" s="721" customFormat="1" ht="22.8" x14ac:dyDescent="0.4">
      <c r="A58" s="724"/>
      <c r="B58" s="990" t="s">
        <v>808</v>
      </c>
      <c r="C58" s="990"/>
      <c r="D58" s="990"/>
      <c r="E58" s="990"/>
      <c r="F58" s="990"/>
      <c r="G58" s="990"/>
      <c r="H58" s="990"/>
      <c r="I58" s="990"/>
      <c r="J58" s="990"/>
      <c r="K58" s="990"/>
      <c r="L58" s="723"/>
      <c r="M58" s="723"/>
      <c r="N58" s="723"/>
      <c r="O58" s="723"/>
      <c r="P58" s="723"/>
      <c r="Q58" s="723"/>
      <c r="R58" s="723"/>
      <c r="S58" s="723"/>
      <c r="T58" s="723"/>
      <c r="U58" s="724"/>
      <c r="V58" s="724"/>
      <c r="W58" s="724"/>
      <c r="X58" s="724"/>
    </row>
    <row r="59" spans="1:27" s="129" customFormat="1" ht="61.2" x14ac:dyDescent="0.25">
      <c r="A59" s="190" t="s">
        <v>726</v>
      </c>
      <c r="B59" s="696" t="s">
        <v>725</v>
      </c>
      <c r="C59" s="190" t="s">
        <v>225</v>
      </c>
      <c r="D59" s="190" t="s">
        <v>225</v>
      </c>
      <c r="E59" s="190" t="s">
        <v>225</v>
      </c>
      <c r="F59" s="190" t="s">
        <v>225</v>
      </c>
      <c r="G59" s="190"/>
      <c r="H59" s="495"/>
      <c r="I59" s="188" t="s">
        <v>941</v>
      </c>
      <c r="J59" s="187" t="s">
        <v>939</v>
      </c>
      <c r="K59" s="495" t="s">
        <v>727</v>
      </c>
      <c r="L59" s="189" t="s">
        <v>1016</v>
      </c>
      <c r="M59" s="705" t="s">
        <v>980</v>
      </c>
      <c r="N59" s="705">
        <v>1013999.14</v>
      </c>
      <c r="O59" s="706" t="s">
        <v>641</v>
      </c>
      <c r="P59" s="705" t="s">
        <v>980</v>
      </c>
      <c r="Q59" s="187" t="s">
        <v>1130</v>
      </c>
      <c r="R59" s="705" t="s">
        <v>977</v>
      </c>
      <c r="S59" s="189" t="s">
        <v>995</v>
      </c>
      <c r="T59" s="705">
        <v>259865.42</v>
      </c>
      <c r="U59" s="705">
        <v>223962.26</v>
      </c>
      <c r="V59" s="705">
        <v>259865.42</v>
      </c>
      <c r="W59" s="705">
        <v>259865.42</v>
      </c>
      <c r="X59" s="495" t="s">
        <v>4</v>
      </c>
      <c r="Z59" s="185" t="s">
        <v>1102</v>
      </c>
    </row>
    <row r="60" spans="1:27" s="129" customFormat="1" ht="20.399999999999999" x14ac:dyDescent="0.25">
      <c r="A60" s="697" t="s">
        <v>733</v>
      </c>
      <c r="B60" s="696" t="s">
        <v>732</v>
      </c>
      <c r="C60" s="190" t="s">
        <v>225</v>
      </c>
      <c r="D60" s="190" t="s">
        <v>225</v>
      </c>
      <c r="E60" s="190" t="s">
        <v>225</v>
      </c>
      <c r="F60" s="190" t="s">
        <v>225</v>
      </c>
      <c r="G60" s="190"/>
      <c r="H60" s="495"/>
      <c r="I60" s="189" t="s">
        <v>1000</v>
      </c>
      <c r="J60" s="189" t="s">
        <v>554</v>
      </c>
      <c r="K60" s="187" t="s">
        <v>782</v>
      </c>
      <c r="L60" s="187">
        <v>42347</v>
      </c>
      <c r="M60" s="187" t="s">
        <v>1017</v>
      </c>
      <c r="N60" s="705">
        <v>1049959.68</v>
      </c>
      <c r="O60" s="706" t="s">
        <v>641</v>
      </c>
      <c r="P60" s="705" t="s">
        <v>977</v>
      </c>
      <c r="Q60" s="705" t="s">
        <v>977</v>
      </c>
      <c r="R60" s="705" t="s">
        <v>977</v>
      </c>
      <c r="S60" s="189" t="s">
        <v>995</v>
      </c>
      <c r="T60" s="705">
        <v>0</v>
      </c>
      <c r="U60" s="705">
        <v>0</v>
      </c>
      <c r="V60" s="705">
        <v>0</v>
      </c>
      <c r="W60" s="705">
        <v>0</v>
      </c>
      <c r="X60" s="495" t="s">
        <v>4</v>
      </c>
      <c r="Z60" s="185" t="s">
        <v>1102</v>
      </c>
    </row>
    <row r="61" spans="1:27" s="124" customFormat="1" ht="67.5" customHeight="1" x14ac:dyDescent="0.25">
      <c r="A61" s="390" t="s">
        <v>739</v>
      </c>
      <c r="B61" s="712" t="s">
        <v>738</v>
      </c>
      <c r="C61" s="390" t="s">
        <v>1095</v>
      </c>
      <c r="D61" s="390" t="s">
        <v>1021</v>
      </c>
      <c r="E61" s="386">
        <v>420245.51</v>
      </c>
      <c r="F61" s="704">
        <v>0</v>
      </c>
      <c r="G61" s="390"/>
      <c r="H61" s="391"/>
      <c r="I61" s="704" t="s">
        <v>1018</v>
      </c>
      <c r="J61" s="668" t="s">
        <v>1019</v>
      </c>
      <c r="K61" s="391" t="s">
        <v>740</v>
      </c>
      <c r="L61" s="393" t="s">
        <v>1020</v>
      </c>
      <c r="M61" s="704" t="s">
        <v>976</v>
      </c>
      <c r="N61" s="704">
        <v>418517.68</v>
      </c>
      <c r="O61" s="740" t="s">
        <v>641</v>
      </c>
      <c r="P61" s="704" t="s">
        <v>976</v>
      </c>
      <c r="Q61" s="704" t="s">
        <v>977</v>
      </c>
      <c r="R61" s="704" t="s">
        <v>977</v>
      </c>
      <c r="S61" s="393" t="s">
        <v>995</v>
      </c>
      <c r="T61" s="704">
        <f>22053.57+16003.48</f>
        <v>38057.050000000003</v>
      </c>
      <c r="U61" s="704">
        <f>T61</f>
        <v>38057.050000000003</v>
      </c>
      <c r="V61" s="704">
        <f>U61</f>
        <v>38057.050000000003</v>
      </c>
      <c r="W61" s="704">
        <f>V61</f>
        <v>38057.050000000003</v>
      </c>
      <c r="X61" s="391" t="s">
        <v>4</v>
      </c>
      <c r="Z61" s="457" t="s">
        <v>1102</v>
      </c>
    </row>
    <row r="62" spans="1:27" s="129" customFormat="1" ht="30.6" x14ac:dyDescent="0.25">
      <c r="A62" s="190" t="s">
        <v>742</v>
      </c>
      <c r="B62" s="696" t="s">
        <v>741</v>
      </c>
      <c r="C62" s="190" t="s">
        <v>225</v>
      </c>
      <c r="D62" s="190" t="s">
        <v>225</v>
      </c>
      <c r="E62" s="190" t="s">
        <v>225</v>
      </c>
      <c r="F62" s="190" t="s">
        <v>225</v>
      </c>
      <c r="G62" s="190"/>
      <c r="H62" s="495"/>
      <c r="I62" s="705" t="s">
        <v>1013</v>
      </c>
      <c r="J62" s="187" t="s">
        <v>1014</v>
      </c>
      <c r="K62" s="495" t="s">
        <v>712</v>
      </c>
      <c r="L62" s="189" t="s">
        <v>1022</v>
      </c>
      <c r="M62" s="705" t="s">
        <v>990</v>
      </c>
      <c r="N62" s="705">
        <v>147101.94</v>
      </c>
      <c r="O62" s="706" t="s">
        <v>641</v>
      </c>
      <c r="P62" s="705" t="s">
        <v>990</v>
      </c>
      <c r="Q62" s="705" t="s">
        <v>977</v>
      </c>
      <c r="R62" s="705" t="s">
        <v>977</v>
      </c>
      <c r="S62" s="189" t="s">
        <v>995</v>
      </c>
      <c r="T62" s="705">
        <v>146532.93</v>
      </c>
      <c r="U62" s="705">
        <v>36882.44</v>
      </c>
      <c r="V62" s="705">
        <v>146532.93</v>
      </c>
      <c r="W62" s="705">
        <v>146532.93</v>
      </c>
      <c r="X62" s="495" t="s">
        <v>4</v>
      </c>
      <c r="Z62" s="185" t="s">
        <v>1102</v>
      </c>
    </row>
    <row r="63" spans="1:27" s="129" customFormat="1" ht="30.6" x14ac:dyDescent="0.25">
      <c r="A63" s="190" t="s">
        <v>747</v>
      </c>
      <c r="B63" s="696" t="s">
        <v>746</v>
      </c>
      <c r="C63" s="190" t="s">
        <v>225</v>
      </c>
      <c r="D63" s="190" t="s">
        <v>225</v>
      </c>
      <c r="E63" s="190" t="s">
        <v>225</v>
      </c>
      <c r="F63" s="190" t="s">
        <v>225</v>
      </c>
      <c r="G63" s="190"/>
      <c r="H63" s="495"/>
      <c r="I63" s="187" t="s">
        <v>798</v>
      </c>
      <c r="J63" s="187" t="s">
        <v>798</v>
      </c>
      <c r="K63" s="187" t="s">
        <v>798</v>
      </c>
      <c r="L63" s="187" t="s">
        <v>798</v>
      </c>
      <c r="M63" s="187" t="s">
        <v>798</v>
      </c>
      <c r="N63" s="187" t="s">
        <v>798</v>
      </c>
      <c r="O63" s="187" t="s">
        <v>798</v>
      </c>
      <c r="P63" s="187" t="s">
        <v>798</v>
      </c>
      <c r="Q63" s="187" t="s">
        <v>798</v>
      </c>
      <c r="R63" s="187" t="s">
        <v>798</v>
      </c>
      <c r="S63" s="187" t="s">
        <v>798</v>
      </c>
      <c r="T63" s="187" t="s">
        <v>798</v>
      </c>
      <c r="U63" s="187" t="s">
        <v>798</v>
      </c>
      <c r="V63" s="187" t="s">
        <v>798</v>
      </c>
      <c r="W63" s="187" t="s">
        <v>798</v>
      </c>
      <c r="X63" s="187" t="s">
        <v>798</v>
      </c>
      <c r="Z63" s="185" t="s">
        <v>1102</v>
      </c>
    </row>
    <row r="64" spans="1:27" s="124" customFormat="1" ht="30.6" x14ac:dyDescent="0.25">
      <c r="A64" s="390" t="s">
        <v>765</v>
      </c>
      <c r="B64" s="712" t="s">
        <v>764</v>
      </c>
      <c r="C64" s="390" t="s">
        <v>225</v>
      </c>
      <c r="D64" s="390" t="s">
        <v>225</v>
      </c>
      <c r="E64" s="390" t="s">
        <v>225</v>
      </c>
      <c r="F64" s="390" t="s">
        <v>225</v>
      </c>
      <c r="G64" s="390"/>
      <c r="H64" s="391"/>
      <c r="I64" s="393" t="s">
        <v>992</v>
      </c>
      <c r="J64" s="393" t="s">
        <v>569</v>
      </c>
      <c r="K64" s="668" t="s">
        <v>775</v>
      </c>
      <c r="L64" s="393" t="s">
        <v>1024</v>
      </c>
      <c r="M64" s="704" t="s">
        <v>990</v>
      </c>
      <c r="N64" s="704">
        <v>131363.99</v>
      </c>
      <c r="O64" s="704" t="s">
        <v>641</v>
      </c>
      <c r="P64" s="704" t="s">
        <v>990</v>
      </c>
      <c r="Q64" s="704">
        <v>13745.41</v>
      </c>
      <c r="R64" s="704" t="s">
        <v>977</v>
      </c>
      <c r="S64" s="393" t="s">
        <v>995</v>
      </c>
      <c r="T64" s="704">
        <f>8482.58+12586.74+17886.69+15101.39+13745.41</f>
        <v>67802.81</v>
      </c>
      <c r="U64" s="704">
        <f>12586.74+17886.09+15101.39+13745.41</f>
        <v>59319.630000000005</v>
      </c>
      <c r="V64" s="704">
        <f>U64</f>
        <v>59319.630000000005</v>
      </c>
      <c r="W64" s="704">
        <f>8482.58+V64</f>
        <v>67802.210000000006</v>
      </c>
      <c r="X64" s="391" t="s">
        <v>4</v>
      </c>
      <c r="Z64" s="457" t="s">
        <v>1102</v>
      </c>
    </row>
    <row r="65" spans="1:26" s="721" customFormat="1" ht="22.8" x14ac:dyDescent="0.4">
      <c r="A65" s="724"/>
      <c r="B65" s="990" t="s">
        <v>812</v>
      </c>
      <c r="C65" s="990"/>
      <c r="D65" s="990"/>
      <c r="E65" s="990"/>
      <c r="F65" s="990"/>
      <c r="G65" s="990"/>
      <c r="H65" s="990"/>
      <c r="I65" s="990"/>
      <c r="J65" s="990"/>
      <c r="K65" s="990"/>
      <c r="L65" s="723"/>
      <c r="M65" s="723"/>
      <c r="N65" s="723"/>
      <c r="O65" s="723"/>
      <c r="P65" s="723"/>
      <c r="Q65" s="723"/>
      <c r="R65" s="723"/>
      <c r="S65" s="723"/>
      <c r="T65" s="723"/>
      <c r="U65" s="724"/>
      <c r="V65" s="724"/>
      <c r="W65" s="724"/>
      <c r="X65" s="724"/>
    </row>
    <row r="66" spans="1:26" s="129" customFormat="1" ht="30.6" x14ac:dyDescent="0.25">
      <c r="A66" s="190" t="s">
        <v>827</v>
      </c>
      <c r="B66" s="696" t="s">
        <v>826</v>
      </c>
      <c r="C66" s="190" t="s">
        <v>225</v>
      </c>
      <c r="D66" s="190" t="s">
        <v>225</v>
      </c>
      <c r="E66" s="190" t="s">
        <v>225</v>
      </c>
      <c r="F66" s="190" t="s">
        <v>225</v>
      </c>
      <c r="G66" s="190"/>
      <c r="H66" s="495"/>
      <c r="I66" s="189" t="s">
        <v>671</v>
      </c>
      <c r="J66" s="189" t="s">
        <v>671</v>
      </c>
      <c r="K66" s="189" t="s">
        <v>671</v>
      </c>
      <c r="L66" s="189" t="s">
        <v>671</v>
      </c>
      <c r="M66" s="189" t="s">
        <v>671</v>
      </c>
      <c r="N66" s="189" t="s">
        <v>671</v>
      </c>
      <c r="O66" s="189" t="s">
        <v>671</v>
      </c>
      <c r="P66" s="189" t="s">
        <v>671</v>
      </c>
      <c r="Q66" s="189" t="s">
        <v>671</v>
      </c>
      <c r="R66" s="189" t="s">
        <v>671</v>
      </c>
      <c r="S66" s="189" t="s">
        <v>671</v>
      </c>
      <c r="T66" s="189" t="s">
        <v>671</v>
      </c>
      <c r="U66" s="189" t="s">
        <v>671</v>
      </c>
      <c r="V66" s="189" t="s">
        <v>671</v>
      </c>
      <c r="W66" s="189" t="s">
        <v>671</v>
      </c>
      <c r="X66" s="189" t="s">
        <v>671</v>
      </c>
      <c r="Z66" s="185" t="s">
        <v>1102</v>
      </c>
    </row>
    <row r="67" spans="1:26" s="129" customFormat="1" ht="30.6" x14ac:dyDescent="0.25">
      <c r="A67" s="190" t="s">
        <v>829</v>
      </c>
      <c r="B67" s="696" t="s">
        <v>625</v>
      </c>
      <c r="C67" s="190" t="s">
        <v>225</v>
      </c>
      <c r="D67" s="190" t="s">
        <v>225</v>
      </c>
      <c r="E67" s="190" t="s">
        <v>225</v>
      </c>
      <c r="F67" s="190" t="s">
        <v>225</v>
      </c>
      <c r="G67" s="190"/>
      <c r="H67" s="495"/>
      <c r="I67" s="188" t="s">
        <v>941</v>
      </c>
      <c r="J67" s="187" t="s">
        <v>939</v>
      </c>
      <c r="K67" s="495" t="s">
        <v>756</v>
      </c>
      <c r="L67" s="187">
        <v>42361</v>
      </c>
      <c r="M67" s="187" t="s">
        <v>990</v>
      </c>
      <c r="N67" s="705">
        <v>195424.35</v>
      </c>
      <c r="O67" s="187" t="s">
        <v>1026</v>
      </c>
      <c r="P67" s="705" t="s">
        <v>977</v>
      </c>
      <c r="Q67" s="705" t="s">
        <v>977</v>
      </c>
      <c r="R67" s="705" t="s">
        <v>977</v>
      </c>
      <c r="S67" s="189" t="s">
        <v>995</v>
      </c>
      <c r="T67" s="705">
        <v>0</v>
      </c>
      <c r="U67" s="705">
        <v>0</v>
      </c>
      <c r="V67" s="705">
        <v>0</v>
      </c>
      <c r="W67" s="705">
        <v>0</v>
      </c>
      <c r="X67" s="495" t="s">
        <v>4</v>
      </c>
      <c r="Z67" s="185" t="s">
        <v>1102</v>
      </c>
    </row>
    <row r="68" spans="1:26" s="129" customFormat="1" ht="20.399999999999999" x14ac:dyDescent="0.25">
      <c r="A68" s="190" t="s">
        <v>833</v>
      </c>
      <c r="B68" s="696" t="s">
        <v>832</v>
      </c>
      <c r="C68" s="190" t="s">
        <v>225</v>
      </c>
      <c r="D68" s="190" t="s">
        <v>225</v>
      </c>
      <c r="E68" s="190" t="s">
        <v>225</v>
      </c>
      <c r="F68" s="190" t="s">
        <v>225</v>
      </c>
      <c r="G68" s="190"/>
      <c r="H68" s="495"/>
      <c r="I68" s="188" t="s">
        <v>941</v>
      </c>
      <c r="J68" s="187" t="s">
        <v>939</v>
      </c>
      <c r="K68" s="495" t="s">
        <v>777</v>
      </c>
      <c r="L68" s="187">
        <v>42328</v>
      </c>
      <c r="M68" s="705" t="s">
        <v>976</v>
      </c>
      <c r="N68" s="705">
        <v>46832.160000000003</v>
      </c>
      <c r="O68" s="187" t="s">
        <v>1028</v>
      </c>
      <c r="P68" s="187" t="s">
        <v>1028</v>
      </c>
      <c r="Q68" s="187" t="s">
        <v>1028</v>
      </c>
      <c r="R68" s="187" t="s">
        <v>1028</v>
      </c>
      <c r="S68" s="187" t="s">
        <v>1028</v>
      </c>
      <c r="T68" s="705">
        <v>0</v>
      </c>
      <c r="U68" s="705">
        <v>0</v>
      </c>
      <c r="V68" s="705">
        <v>0</v>
      </c>
      <c r="W68" s="705">
        <v>0</v>
      </c>
      <c r="X68" s="187" t="s">
        <v>1028</v>
      </c>
      <c r="Z68" s="185" t="s">
        <v>1102</v>
      </c>
    </row>
    <row r="69" spans="1:26" s="129" customFormat="1" ht="30.6" x14ac:dyDescent="0.25">
      <c r="A69" s="190" t="s">
        <v>835</v>
      </c>
      <c r="B69" s="696" t="s">
        <v>834</v>
      </c>
      <c r="C69" s="190" t="s">
        <v>225</v>
      </c>
      <c r="D69" s="190" t="s">
        <v>225</v>
      </c>
      <c r="E69" s="190" t="s">
        <v>225</v>
      </c>
      <c r="F69" s="190" t="s">
        <v>225</v>
      </c>
      <c r="G69" s="190"/>
      <c r="H69" s="495"/>
      <c r="I69" s="705" t="s">
        <v>1025</v>
      </c>
      <c r="J69" s="187" t="s">
        <v>1027</v>
      </c>
      <c r="K69" s="495" t="s">
        <v>778</v>
      </c>
      <c r="L69" s="187">
        <v>42331</v>
      </c>
      <c r="M69" s="705" t="s">
        <v>976</v>
      </c>
      <c r="N69" s="705">
        <v>24396.49</v>
      </c>
      <c r="O69" s="187" t="s">
        <v>1028</v>
      </c>
      <c r="P69" s="187" t="s">
        <v>1028</v>
      </c>
      <c r="Q69" s="187" t="s">
        <v>1028</v>
      </c>
      <c r="R69" s="187" t="s">
        <v>1028</v>
      </c>
      <c r="S69" s="187" t="s">
        <v>1028</v>
      </c>
      <c r="T69" s="705">
        <v>0</v>
      </c>
      <c r="U69" s="705">
        <v>0</v>
      </c>
      <c r="V69" s="705">
        <v>0</v>
      </c>
      <c r="W69" s="705">
        <v>0</v>
      </c>
      <c r="X69" s="187" t="s">
        <v>1028</v>
      </c>
      <c r="Z69" s="185" t="s">
        <v>1102</v>
      </c>
    </row>
    <row r="70" spans="1:26" s="129" customFormat="1" ht="40.799999999999997" x14ac:dyDescent="0.25">
      <c r="A70" s="190" t="s">
        <v>841</v>
      </c>
      <c r="B70" s="696" t="s">
        <v>840</v>
      </c>
      <c r="C70" s="190" t="s">
        <v>225</v>
      </c>
      <c r="D70" s="190" t="s">
        <v>225</v>
      </c>
      <c r="E70" s="190" t="s">
        <v>225</v>
      </c>
      <c r="F70" s="190" t="s">
        <v>225</v>
      </c>
      <c r="G70" s="190"/>
      <c r="H70" s="495"/>
      <c r="I70" s="705" t="s">
        <v>1013</v>
      </c>
      <c r="J70" s="187" t="s">
        <v>1014</v>
      </c>
      <c r="K70" s="495" t="s">
        <v>780</v>
      </c>
      <c r="L70" s="187">
        <v>42331</v>
      </c>
      <c r="M70" s="705" t="s">
        <v>976</v>
      </c>
      <c r="N70" s="705">
        <v>64846.75</v>
      </c>
      <c r="O70" s="189" t="s">
        <v>1026</v>
      </c>
      <c r="P70" s="705" t="s">
        <v>977</v>
      </c>
      <c r="Q70" s="705">
        <v>20058.93</v>
      </c>
      <c r="R70" s="705" t="s">
        <v>977</v>
      </c>
      <c r="S70" s="189" t="s">
        <v>995</v>
      </c>
      <c r="T70" s="705">
        <v>0</v>
      </c>
      <c r="U70" s="705">
        <v>0</v>
      </c>
      <c r="V70" s="705">
        <v>0</v>
      </c>
      <c r="W70" s="705">
        <v>0</v>
      </c>
      <c r="X70" s="495" t="s">
        <v>4</v>
      </c>
      <c r="Z70" s="185" t="s">
        <v>1102</v>
      </c>
    </row>
    <row r="71" spans="1:26" s="129" customFormat="1" ht="51" x14ac:dyDescent="0.25">
      <c r="A71" s="190" t="s">
        <v>859</v>
      </c>
      <c r="B71" s="696" t="s">
        <v>844</v>
      </c>
      <c r="C71" s="190" t="s">
        <v>225</v>
      </c>
      <c r="D71" s="190" t="s">
        <v>225</v>
      </c>
      <c r="E71" s="190" t="s">
        <v>225</v>
      </c>
      <c r="F71" s="190" t="s">
        <v>225</v>
      </c>
      <c r="G71" s="190"/>
      <c r="H71" s="495"/>
      <c r="I71" s="189" t="s">
        <v>671</v>
      </c>
      <c r="J71" s="189" t="s">
        <v>671</v>
      </c>
      <c r="K71" s="189" t="s">
        <v>671</v>
      </c>
      <c r="L71" s="189" t="s">
        <v>671</v>
      </c>
      <c r="M71" s="189" t="s">
        <v>671</v>
      </c>
      <c r="N71" s="189" t="s">
        <v>671</v>
      </c>
      <c r="O71" s="189" t="s">
        <v>671</v>
      </c>
      <c r="P71" s="189" t="s">
        <v>671</v>
      </c>
      <c r="Q71" s="189" t="s">
        <v>671</v>
      </c>
      <c r="R71" s="189" t="s">
        <v>671</v>
      </c>
      <c r="S71" s="189" t="s">
        <v>671</v>
      </c>
      <c r="T71" s="189" t="s">
        <v>671</v>
      </c>
      <c r="U71" s="189" t="s">
        <v>671</v>
      </c>
      <c r="V71" s="189" t="s">
        <v>671</v>
      </c>
      <c r="W71" s="189" t="s">
        <v>671</v>
      </c>
      <c r="X71" s="189" t="s">
        <v>671</v>
      </c>
      <c r="Z71" s="185" t="s">
        <v>1102</v>
      </c>
    </row>
    <row r="72" spans="1:26" s="129" customFormat="1" ht="30.6" x14ac:dyDescent="0.25">
      <c r="A72" s="190" t="s">
        <v>854</v>
      </c>
      <c r="B72" s="696" t="s">
        <v>754</v>
      </c>
      <c r="C72" s="190" t="s">
        <v>225</v>
      </c>
      <c r="D72" s="190" t="s">
        <v>225</v>
      </c>
      <c r="E72" s="190" t="s">
        <v>225</v>
      </c>
      <c r="F72" s="190" t="s">
        <v>225</v>
      </c>
      <c r="G72" s="190"/>
      <c r="H72" s="495"/>
      <c r="I72" s="189" t="s">
        <v>671</v>
      </c>
      <c r="J72" s="189" t="s">
        <v>671</v>
      </c>
      <c r="K72" s="189" t="s">
        <v>671</v>
      </c>
      <c r="L72" s="189" t="s">
        <v>671</v>
      </c>
      <c r="M72" s="189" t="s">
        <v>671</v>
      </c>
      <c r="N72" s="189" t="s">
        <v>671</v>
      </c>
      <c r="O72" s="189" t="s">
        <v>671</v>
      </c>
      <c r="P72" s="189" t="s">
        <v>671</v>
      </c>
      <c r="Q72" s="189" t="s">
        <v>671</v>
      </c>
      <c r="R72" s="189" t="s">
        <v>671</v>
      </c>
      <c r="S72" s="189" t="s">
        <v>671</v>
      </c>
      <c r="T72" s="189" t="s">
        <v>671</v>
      </c>
      <c r="U72" s="189" t="s">
        <v>671</v>
      </c>
      <c r="V72" s="189" t="s">
        <v>671</v>
      </c>
      <c r="W72" s="189" t="s">
        <v>671</v>
      </c>
      <c r="X72" s="189" t="s">
        <v>671</v>
      </c>
      <c r="Z72" s="185" t="s">
        <v>1102</v>
      </c>
    </row>
    <row r="73" spans="1:26" s="129" customFormat="1" ht="30.6" x14ac:dyDescent="0.25">
      <c r="A73" s="190" t="s">
        <v>857</v>
      </c>
      <c r="B73" s="696" t="s">
        <v>855</v>
      </c>
      <c r="C73" s="190" t="s">
        <v>225</v>
      </c>
      <c r="D73" s="190" t="s">
        <v>225</v>
      </c>
      <c r="E73" s="190" t="s">
        <v>225</v>
      </c>
      <c r="F73" s="190" t="s">
        <v>225</v>
      </c>
      <c r="G73" s="190"/>
      <c r="H73" s="495"/>
      <c r="I73" s="189" t="s">
        <v>671</v>
      </c>
      <c r="J73" s="189" t="s">
        <v>671</v>
      </c>
      <c r="K73" s="189" t="s">
        <v>671</v>
      </c>
      <c r="L73" s="189" t="s">
        <v>671</v>
      </c>
      <c r="M73" s="189" t="s">
        <v>671</v>
      </c>
      <c r="N73" s="189" t="s">
        <v>671</v>
      </c>
      <c r="O73" s="189" t="s">
        <v>671</v>
      </c>
      <c r="P73" s="189" t="s">
        <v>671</v>
      </c>
      <c r="Q73" s="189" t="s">
        <v>671</v>
      </c>
      <c r="R73" s="189" t="s">
        <v>671</v>
      </c>
      <c r="S73" s="189" t="s">
        <v>671</v>
      </c>
      <c r="T73" s="189" t="s">
        <v>671</v>
      </c>
      <c r="U73" s="189" t="s">
        <v>671</v>
      </c>
      <c r="V73" s="189" t="s">
        <v>671</v>
      </c>
      <c r="W73" s="189" t="s">
        <v>671</v>
      </c>
      <c r="X73" s="189" t="s">
        <v>671</v>
      </c>
      <c r="Z73" s="185" t="s">
        <v>1102</v>
      </c>
    </row>
    <row r="74" spans="1:26" s="721" customFormat="1" ht="22.8" x14ac:dyDescent="0.4">
      <c r="A74" s="724"/>
      <c r="B74" s="990" t="s">
        <v>1030</v>
      </c>
      <c r="C74" s="990"/>
      <c r="D74" s="990"/>
      <c r="E74" s="990"/>
      <c r="F74" s="990"/>
      <c r="G74" s="990"/>
      <c r="H74" s="990"/>
      <c r="I74" s="990"/>
      <c r="J74" s="990"/>
      <c r="K74" s="990"/>
      <c r="L74" s="723"/>
      <c r="M74" s="723"/>
      <c r="N74" s="723"/>
      <c r="O74" s="723"/>
      <c r="P74" s="723"/>
      <c r="Q74" s="723"/>
      <c r="R74" s="723"/>
      <c r="S74" s="723"/>
      <c r="T74" s="723"/>
      <c r="U74" s="755"/>
      <c r="V74" s="724"/>
      <c r="W74" s="724"/>
      <c r="X74" s="724"/>
    </row>
    <row r="75" spans="1:26" s="129" customFormat="1" ht="71.400000000000006" x14ac:dyDescent="0.25">
      <c r="A75" s="689" t="s">
        <v>45</v>
      </c>
      <c r="B75" s="696" t="s">
        <v>42</v>
      </c>
      <c r="C75" s="747" t="s">
        <v>19</v>
      </c>
      <c r="D75" s="747" t="s">
        <v>19</v>
      </c>
      <c r="E75" s="747" t="s">
        <v>19</v>
      </c>
      <c r="F75" s="747" t="s">
        <v>19</v>
      </c>
      <c r="G75" s="698"/>
      <c r="H75" s="698"/>
      <c r="I75" s="699" t="s">
        <v>1031</v>
      </c>
      <c r="J75" s="189" t="s">
        <v>1032</v>
      </c>
      <c r="K75" s="747" t="s">
        <v>41</v>
      </c>
      <c r="L75" s="187">
        <v>40641</v>
      </c>
      <c r="M75" s="305" t="s">
        <v>1033</v>
      </c>
      <c r="N75" s="688">
        <v>955272.36</v>
      </c>
      <c r="O75" s="747" t="s">
        <v>223</v>
      </c>
      <c r="P75" s="189" t="s">
        <v>1117</v>
      </c>
      <c r="Q75" s="705" t="s">
        <v>977</v>
      </c>
      <c r="R75" s="705" t="s">
        <v>977</v>
      </c>
      <c r="S75" s="189" t="s">
        <v>995</v>
      </c>
      <c r="T75" s="688">
        <v>449653.82</v>
      </c>
      <c r="U75" s="688">
        <f>0</f>
        <v>0</v>
      </c>
      <c r="V75" s="688">
        <f>91653.82+109000</f>
        <v>200653.82</v>
      </c>
      <c r="W75" s="688">
        <f>100000+100000+49000+V75</f>
        <v>449653.82</v>
      </c>
      <c r="X75" s="495" t="s">
        <v>4</v>
      </c>
    </row>
    <row r="76" spans="1:26" s="129" customFormat="1" ht="20.399999999999999" x14ac:dyDescent="0.25">
      <c r="A76" s="689" t="s">
        <v>138</v>
      </c>
      <c r="B76" s="696" t="s">
        <v>120</v>
      </c>
      <c r="C76" s="747" t="s">
        <v>1054</v>
      </c>
      <c r="D76" s="747" t="s">
        <v>143</v>
      </c>
      <c r="E76" s="305">
        <v>2000000</v>
      </c>
      <c r="F76" s="701" t="s">
        <v>644</v>
      </c>
      <c r="G76" s="698"/>
      <c r="H76" s="698"/>
      <c r="I76" s="699" t="s">
        <v>1031</v>
      </c>
      <c r="J76" s="189" t="s">
        <v>1032</v>
      </c>
      <c r="K76" s="747" t="s">
        <v>204</v>
      </c>
      <c r="L76" s="187">
        <v>41477</v>
      </c>
      <c r="M76" s="305" t="s">
        <v>1034</v>
      </c>
      <c r="N76" s="688">
        <v>1991023.52</v>
      </c>
      <c r="O76" s="747" t="s">
        <v>223</v>
      </c>
      <c r="P76" s="189" t="s">
        <v>1118</v>
      </c>
      <c r="Q76" s="705" t="s">
        <v>977</v>
      </c>
      <c r="R76" s="705" t="s">
        <v>977</v>
      </c>
      <c r="S76" s="189" t="s">
        <v>995</v>
      </c>
      <c r="T76" s="688">
        <v>185330.23</v>
      </c>
      <c r="U76" s="688">
        <v>0</v>
      </c>
      <c r="V76" s="688">
        <f>17086.18+33745.21+42469.58+57014.08</f>
        <v>150315.04999999999</v>
      </c>
      <c r="W76" s="688">
        <f>17086.18+33745.21+57014.08+42469.58+35015.19</f>
        <v>185330.24</v>
      </c>
      <c r="X76" s="495" t="s">
        <v>4</v>
      </c>
    </row>
    <row r="77" spans="1:26" s="721" customFormat="1" ht="22.8" x14ac:dyDescent="0.4">
      <c r="A77" s="724"/>
      <c r="B77" s="990" t="s">
        <v>1035</v>
      </c>
      <c r="C77" s="990"/>
      <c r="D77" s="990"/>
      <c r="E77" s="990"/>
      <c r="F77" s="990"/>
      <c r="G77" s="990"/>
      <c r="H77" s="990"/>
      <c r="I77" s="990"/>
      <c r="J77" s="990"/>
      <c r="K77" s="990"/>
      <c r="L77" s="723"/>
      <c r="M77" s="723"/>
      <c r="N77" s="723"/>
      <c r="O77" s="723"/>
      <c r="P77" s="723"/>
      <c r="Q77" s="723"/>
      <c r="R77" s="723"/>
      <c r="S77" s="723"/>
      <c r="T77" s="723"/>
      <c r="U77" s="755"/>
      <c r="V77" s="724"/>
      <c r="W77" s="724"/>
      <c r="X77" s="724"/>
    </row>
    <row r="78" spans="1:26" s="129" customFormat="1" ht="39" x14ac:dyDescent="0.25">
      <c r="A78" s="689" t="s">
        <v>260</v>
      </c>
      <c r="B78" s="692" t="s">
        <v>165</v>
      </c>
      <c r="C78" s="189" t="s">
        <v>1086</v>
      </c>
      <c r="D78" s="747" t="s">
        <v>107</v>
      </c>
      <c r="E78" s="305">
        <v>3163400</v>
      </c>
      <c r="F78" s="305">
        <v>131808.32999999999</v>
      </c>
      <c r="G78" s="698"/>
      <c r="H78" s="698"/>
      <c r="I78" s="699" t="s">
        <v>1036</v>
      </c>
      <c r="J78" s="189" t="s">
        <v>1037</v>
      </c>
      <c r="K78" s="747" t="s">
        <v>278</v>
      </c>
      <c r="L78" s="187">
        <v>41164</v>
      </c>
      <c r="M78" s="189" t="s">
        <v>1110</v>
      </c>
      <c r="N78" s="688">
        <v>3224157.7</v>
      </c>
      <c r="O78" s="710">
        <v>41576</v>
      </c>
      <c r="P78" s="189" t="s">
        <v>1119</v>
      </c>
      <c r="Q78" s="705">
        <v>133644.56</v>
      </c>
      <c r="R78" s="705" t="s">
        <v>977</v>
      </c>
      <c r="S78" s="189" t="s">
        <v>995</v>
      </c>
      <c r="T78" s="688">
        <v>2226945.33</v>
      </c>
      <c r="U78" s="688">
        <v>0</v>
      </c>
      <c r="V78" s="688">
        <v>0</v>
      </c>
      <c r="W78" s="688">
        <f>665499.85+721758.03+277803.79+11575.16+18719.53+449268.64+79181.08</f>
        <v>2223806.08</v>
      </c>
      <c r="X78" s="495" t="s">
        <v>1038</v>
      </c>
    </row>
    <row r="79" spans="1:26" s="129" customFormat="1" ht="30.6" x14ac:dyDescent="0.25">
      <c r="A79" s="689" t="s">
        <v>299</v>
      </c>
      <c r="B79" s="696" t="s">
        <v>181</v>
      </c>
      <c r="C79" s="697" t="s">
        <v>1041</v>
      </c>
      <c r="D79" s="747" t="s">
        <v>199</v>
      </c>
      <c r="E79" s="305">
        <v>2710000</v>
      </c>
      <c r="F79" s="305">
        <v>296310</v>
      </c>
      <c r="G79" s="698"/>
      <c r="H79" s="698"/>
      <c r="I79" s="699" t="s">
        <v>1039</v>
      </c>
      <c r="J79" s="189" t="s">
        <v>1040</v>
      </c>
      <c r="K79" s="747" t="s">
        <v>308</v>
      </c>
      <c r="L79" s="187">
        <v>41309</v>
      </c>
      <c r="M79" s="305" t="s">
        <v>1034</v>
      </c>
      <c r="N79" s="688">
        <v>2635231.1</v>
      </c>
      <c r="O79" s="495" t="s">
        <v>4</v>
      </c>
      <c r="P79" s="189" t="s">
        <v>1118</v>
      </c>
      <c r="Q79" s="189" t="s">
        <v>1087</v>
      </c>
      <c r="R79" s="705" t="s">
        <v>977</v>
      </c>
      <c r="S79" s="189" t="s">
        <v>995</v>
      </c>
      <c r="T79" s="688"/>
      <c r="U79" s="688">
        <f>76107.9+8654.91</f>
        <v>84762.81</v>
      </c>
      <c r="V79" s="688">
        <f>76107.9+8654.91</f>
        <v>84762.81</v>
      </c>
      <c r="W79" s="688">
        <f>89274+72132.63+72104.1+7883.83+101943.58+11146.46+41968.33+383835.1+14666.99+134141.8+47259.06+72729.91+79905.69+107488.87+107017.46+103765+681058.06</f>
        <v>2128320.87</v>
      </c>
      <c r="X79" s="495" t="s">
        <v>4</v>
      </c>
    </row>
    <row r="80" spans="1:26" s="721" customFormat="1" ht="22.8" x14ac:dyDescent="0.4">
      <c r="A80" s="724"/>
      <c r="B80" s="990" t="s">
        <v>1042</v>
      </c>
      <c r="C80" s="990"/>
      <c r="D80" s="990"/>
      <c r="E80" s="990"/>
      <c r="F80" s="990"/>
      <c r="G80" s="990"/>
      <c r="H80" s="990"/>
      <c r="I80" s="990"/>
      <c r="J80" s="990"/>
      <c r="K80" s="990"/>
      <c r="L80" s="723"/>
      <c r="M80" s="723"/>
      <c r="N80" s="723"/>
      <c r="O80" s="723"/>
      <c r="P80" s="723"/>
      <c r="Q80" s="723"/>
      <c r="R80" s="723"/>
      <c r="S80" s="723"/>
      <c r="T80" s="723"/>
      <c r="U80" s="755"/>
      <c r="V80" s="724"/>
      <c r="W80" s="724"/>
      <c r="X80" s="724"/>
    </row>
    <row r="81" spans="1:26" s="129" customFormat="1" ht="30.6" x14ac:dyDescent="0.25">
      <c r="A81" s="689" t="s">
        <v>311</v>
      </c>
      <c r="B81" s="692" t="s">
        <v>312</v>
      </c>
      <c r="C81" s="495" t="s">
        <v>1043</v>
      </c>
      <c r="D81" s="747" t="s">
        <v>1044</v>
      </c>
      <c r="E81" s="305">
        <v>1500000</v>
      </c>
      <c r="F81" s="305">
        <v>147167.51999999999</v>
      </c>
      <c r="G81" s="698"/>
      <c r="H81" s="698"/>
      <c r="I81" s="699" t="s">
        <v>1039</v>
      </c>
      <c r="J81" s="189" t="s">
        <v>1040</v>
      </c>
      <c r="K81" s="747" t="s">
        <v>309</v>
      </c>
      <c r="L81" s="187">
        <v>41409</v>
      </c>
      <c r="M81" s="305" t="s">
        <v>1002</v>
      </c>
      <c r="N81" s="688">
        <v>1647667.52</v>
      </c>
      <c r="O81" s="189" t="s">
        <v>1046</v>
      </c>
      <c r="P81" s="189" t="s">
        <v>1045</v>
      </c>
      <c r="Q81" s="705">
        <v>-2750.31</v>
      </c>
      <c r="R81" s="705" t="s">
        <v>977</v>
      </c>
      <c r="S81" s="189" t="s">
        <v>995</v>
      </c>
      <c r="T81" s="688">
        <v>513253.55</v>
      </c>
      <c r="U81" s="688">
        <v>0</v>
      </c>
      <c r="V81" s="688">
        <v>0</v>
      </c>
      <c r="W81" s="688">
        <f>29025.96+290569.6+113499.16+11349.91</f>
        <v>444444.62999999995</v>
      </c>
      <c r="X81" s="189" t="s">
        <v>1046</v>
      </c>
    </row>
    <row r="82" spans="1:26" s="129" customFormat="1" ht="30.6" x14ac:dyDescent="0.25">
      <c r="A82" s="689" t="s">
        <v>314</v>
      </c>
      <c r="B82" s="696" t="s">
        <v>373</v>
      </c>
      <c r="C82" s="495" t="s">
        <v>1048</v>
      </c>
      <c r="D82" s="747" t="s">
        <v>1047</v>
      </c>
      <c r="E82" s="305">
        <v>1422593.66</v>
      </c>
      <c r="F82" s="305">
        <v>256438.78</v>
      </c>
      <c r="G82" s="698"/>
      <c r="H82" s="698"/>
      <c r="I82" s="699" t="s">
        <v>1000</v>
      </c>
      <c r="J82" s="189" t="s">
        <v>554</v>
      </c>
      <c r="K82" s="747" t="s">
        <v>315</v>
      </c>
      <c r="L82" s="187">
        <v>41484</v>
      </c>
      <c r="M82" s="305" t="s">
        <v>1002</v>
      </c>
      <c r="N82" s="688">
        <v>1652066.62</v>
      </c>
      <c r="O82" s="747" t="s">
        <v>4</v>
      </c>
      <c r="P82" s="189" t="s">
        <v>1045</v>
      </c>
      <c r="Q82" s="705" t="s">
        <v>977</v>
      </c>
      <c r="R82" s="705" t="s">
        <v>977</v>
      </c>
      <c r="S82" s="189" t="s">
        <v>995</v>
      </c>
      <c r="T82" s="688">
        <v>1109374.46</v>
      </c>
      <c r="U82" s="688">
        <v>100077.83</v>
      </c>
      <c r="V82" s="688">
        <v>1006060.36</v>
      </c>
      <c r="W82" s="688">
        <v>1006060.36</v>
      </c>
      <c r="X82" s="747" t="s">
        <v>4</v>
      </c>
    </row>
    <row r="83" spans="1:26" s="129" customFormat="1" ht="81.599999999999994" x14ac:dyDescent="0.25">
      <c r="A83" s="689" t="s">
        <v>367</v>
      </c>
      <c r="B83" s="696" t="s">
        <v>353</v>
      </c>
      <c r="C83" s="747" t="s">
        <v>225</v>
      </c>
      <c r="D83" s="747" t="s">
        <v>225</v>
      </c>
      <c r="E83" s="747" t="s">
        <v>225</v>
      </c>
      <c r="F83" s="747" t="s">
        <v>225</v>
      </c>
      <c r="G83" s="698"/>
      <c r="H83" s="698"/>
      <c r="I83" s="699" t="s">
        <v>1049</v>
      </c>
      <c r="J83" s="189" t="s">
        <v>1050</v>
      </c>
      <c r="K83" s="747" t="s">
        <v>357</v>
      </c>
      <c r="L83" s="187">
        <v>41603</v>
      </c>
      <c r="M83" s="305" t="s">
        <v>976</v>
      </c>
      <c r="N83" s="688">
        <v>453625.21</v>
      </c>
      <c r="O83" s="690" t="s">
        <v>221</v>
      </c>
      <c r="P83" s="188" t="s">
        <v>1120</v>
      </c>
      <c r="Q83" s="305">
        <v>120337.43</v>
      </c>
      <c r="R83" s="705" t="s">
        <v>977</v>
      </c>
      <c r="S83" s="189" t="s">
        <v>995</v>
      </c>
      <c r="T83" s="688">
        <f t="shared" ref="T83" si="1">129214.62+52708.1+52708.1+112601.28+112999.2</f>
        <v>460231.3</v>
      </c>
      <c r="U83" s="688">
        <v>0</v>
      </c>
      <c r="V83" s="688">
        <v>0</v>
      </c>
      <c r="W83" s="688">
        <f>129214.62+52708.1+52708.1+112601.28+112999.2</f>
        <v>460231.3</v>
      </c>
      <c r="X83" s="690" t="s">
        <v>221</v>
      </c>
    </row>
    <row r="84" spans="1:26" s="129" customFormat="1" ht="51" x14ac:dyDescent="0.25">
      <c r="A84" s="689" t="s">
        <v>368</v>
      </c>
      <c r="B84" s="696" t="s">
        <v>354</v>
      </c>
      <c r="C84" s="747" t="s">
        <v>225</v>
      </c>
      <c r="D84" s="747" t="s">
        <v>225</v>
      </c>
      <c r="E84" s="747" t="s">
        <v>225</v>
      </c>
      <c r="F84" s="747" t="s">
        <v>225</v>
      </c>
      <c r="G84" s="698"/>
      <c r="H84" s="698"/>
      <c r="I84" s="699" t="s">
        <v>1049</v>
      </c>
      <c r="J84" s="189" t="s">
        <v>1050</v>
      </c>
      <c r="K84" s="747" t="s">
        <v>358</v>
      </c>
      <c r="L84" s="187">
        <v>41607</v>
      </c>
      <c r="M84" s="305" t="s">
        <v>1002</v>
      </c>
      <c r="N84" s="688" t="s">
        <v>371</v>
      </c>
      <c r="O84" s="690" t="s">
        <v>221</v>
      </c>
      <c r="P84" s="189" t="s">
        <v>1121</v>
      </c>
      <c r="Q84" s="705" t="s">
        <v>977</v>
      </c>
      <c r="R84" s="705" t="s">
        <v>977</v>
      </c>
      <c r="S84" s="189" t="s">
        <v>995</v>
      </c>
      <c r="T84" s="688">
        <v>493841.34</v>
      </c>
      <c r="U84" s="688">
        <v>0</v>
      </c>
      <c r="V84" s="688">
        <v>0</v>
      </c>
      <c r="W84" s="688">
        <f>129214.62+280257.36+30527.68+35686.81+144266.46</f>
        <v>619952.92999999993</v>
      </c>
      <c r="X84" s="690" t="s">
        <v>221</v>
      </c>
    </row>
    <row r="85" spans="1:26" s="721" customFormat="1" ht="22.8" x14ac:dyDescent="0.4">
      <c r="A85" s="724"/>
      <c r="B85" s="990" t="s">
        <v>1051</v>
      </c>
      <c r="C85" s="990"/>
      <c r="D85" s="990"/>
      <c r="E85" s="990"/>
      <c r="F85" s="990"/>
      <c r="G85" s="990"/>
      <c r="H85" s="990"/>
      <c r="I85" s="990"/>
      <c r="J85" s="990"/>
      <c r="K85" s="990"/>
      <c r="L85" s="723"/>
      <c r="M85" s="723"/>
      <c r="N85" s="723"/>
      <c r="O85" s="723"/>
      <c r="P85" s="723"/>
      <c r="Q85" s="723"/>
      <c r="R85" s="723"/>
      <c r="S85" s="723"/>
      <c r="T85" s="723"/>
      <c r="U85" s="755"/>
      <c r="V85" s="724"/>
      <c r="W85" s="724"/>
      <c r="X85" s="724"/>
    </row>
    <row r="86" spans="1:26" s="129" customFormat="1" ht="51" x14ac:dyDescent="0.25">
      <c r="A86" s="189" t="s">
        <v>385</v>
      </c>
      <c r="B86" s="696" t="s">
        <v>381</v>
      </c>
      <c r="C86" s="747" t="s">
        <v>225</v>
      </c>
      <c r="D86" s="747" t="s">
        <v>225</v>
      </c>
      <c r="E86" s="747" t="s">
        <v>225</v>
      </c>
      <c r="F86" s="747" t="s">
        <v>225</v>
      </c>
      <c r="G86" s="698"/>
      <c r="H86" s="698"/>
      <c r="I86" s="699" t="s">
        <v>1031</v>
      </c>
      <c r="J86" s="189" t="s">
        <v>1032</v>
      </c>
      <c r="K86" s="747" t="s">
        <v>383</v>
      </c>
      <c r="L86" s="187">
        <v>41715</v>
      </c>
      <c r="M86" s="305" t="s">
        <v>990</v>
      </c>
      <c r="N86" s="189" t="s">
        <v>404</v>
      </c>
      <c r="O86" s="189" t="s">
        <v>1052</v>
      </c>
      <c r="P86" s="189" t="s">
        <v>1053</v>
      </c>
      <c r="Q86" s="305">
        <v>36321.42</v>
      </c>
      <c r="R86" s="705" t="s">
        <v>977</v>
      </c>
      <c r="S86" s="189">
        <v>44905100</v>
      </c>
      <c r="T86" s="305">
        <v>468167.09</v>
      </c>
      <c r="U86" s="305">
        <v>124557.93</v>
      </c>
      <c r="V86" s="305">
        <v>124557.93</v>
      </c>
      <c r="W86" s="305">
        <v>468166.99</v>
      </c>
      <c r="X86" s="690" t="s">
        <v>4</v>
      </c>
    </row>
    <row r="87" spans="1:26" s="129" customFormat="1" ht="40.799999999999997" x14ac:dyDescent="0.25">
      <c r="A87" s="189" t="s">
        <v>393</v>
      </c>
      <c r="B87" s="696" t="s">
        <v>584</v>
      </c>
      <c r="C87" s="747" t="s">
        <v>225</v>
      </c>
      <c r="D87" s="747" t="s">
        <v>225</v>
      </c>
      <c r="E87" s="747" t="s">
        <v>225</v>
      </c>
      <c r="F87" s="747" t="s">
        <v>225</v>
      </c>
      <c r="G87" s="698"/>
      <c r="H87" s="698"/>
      <c r="I87" s="699" t="s">
        <v>1055</v>
      </c>
      <c r="J87" s="189" t="s">
        <v>1056</v>
      </c>
      <c r="K87" s="747" t="s">
        <v>392</v>
      </c>
      <c r="L87" s="187">
        <v>41738</v>
      </c>
      <c r="M87" s="305" t="s">
        <v>984</v>
      </c>
      <c r="N87" s="189" t="s">
        <v>576</v>
      </c>
      <c r="O87" s="189" t="s">
        <v>1057</v>
      </c>
      <c r="P87" s="188" t="s">
        <v>1116</v>
      </c>
      <c r="Q87" s="705" t="s">
        <v>977</v>
      </c>
      <c r="R87" s="705" t="s">
        <v>977</v>
      </c>
      <c r="S87" s="189">
        <v>44905100</v>
      </c>
      <c r="T87" s="305">
        <v>119954.4</v>
      </c>
      <c r="U87" s="305">
        <v>0</v>
      </c>
      <c r="V87" s="305">
        <f>U87</f>
        <v>0</v>
      </c>
      <c r="W87" s="305">
        <f>V87</f>
        <v>0</v>
      </c>
      <c r="X87" s="690" t="s">
        <v>221</v>
      </c>
    </row>
    <row r="88" spans="1:26" s="129" customFormat="1" ht="20.399999999999999" x14ac:dyDescent="0.25">
      <c r="A88" s="189" t="s">
        <v>394</v>
      </c>
      <c r="B88" s="696" t="s">
        <v>410</v>
      </c>
      <c r="C88" s="747" t="s">
        <v>225</v>
      </c>
      <c r="D88" s="747" t="s">
        <v>225</v>
      </c>
      <c r="E88" s="747" t="s">
        <v>225</v>
      </c>
      <c r="F88" s="747" t="s">
        <v>225</v>
      </c>
      <c r="G88" s="698"/>
      <c r="H88" s="698"/>
      <c r="I88" s="699" t="s">
        <v>926</v>
      </c>
      <c r="J88" s="189" t="s">
        <v>549</v>
      </c>
      <c r="K88" s="747" t="s">
        <v>386</v>
      </c>
      <c r="L88" s="187">
        <v>41723</v>
      </c>
      <c r="M88" s="305" t="s">
        <v>982</v>
      </c>
      <c r="N88" s="189" t="s">
        <v>405</v>
      </c>
      <c r="O88" s="189" t="s">
        <v>1058</v>
      </c>
      <c r="P88" s="189" t="s">
        <v>1059</v>
      </c>
      <c r="Q88" s="705" t="s">
        <v>977</v>
      </c>
      <c r="R88" s="705" t="s">
        <v>977</v>
      </c>
      <c r="S88" s="189">
        <v>44905100</v>
      </c>
      <c r="T88" s="305">
        <v>113353.93</v>
      </c>
      <c r="U88" s="305">
        <v>13817.15</v>
      </c>
      <c r="V88" s="305">
        <v>113353.93</v>
      </c>
      <c r="W88" s="305">
        <v>113353.93</v>
      </c>
      <c r="X88" s="690" t="s">
        <v>4</v>
      </c>
    </row>
    <row r="89" spans="1:26" s="129" customFormat="1" x14ac:dyDescent="0.25">
      <c r="A89" s="698"/>
      <c r="B89" s="698"/>
      <c r="C89" s="698"/>
      <c r="D89" s="698"/>
      <c r="E89" s="698"/>
      <c r="F89" s="698"/>
      <c r="G89" s="698"/>
      <c r="H89" s="698"/>
      <c r="I89" s="702"/>
      <c r="J89" s="702"/>
      <c r="K89" s="702"/>
      <c r="L89" s="702"/>
      <c r="M89" s="702"/>
      <c r="N89" s="702"/>
      <c r="O89" s="702"/>
      <c r="P89" s="702"/>
      <c r="Q89" s="702"/>
      <c r="R89" s="702"/>
      <c r="S89" s="702"/>
      <c r="T89" s="702"/>
      <c r="U89" s="698"/>
      <c r="V89" s="698"/>
      <c r="W89" s="698"/>
      <c r="X89" s="698"/>
    </row>
    <row r="90" spans="1:26" s="129" customFormat="1" ht="61.2" x14ac:dyDescent="0.25">
      <c r="A90" s="189" t="s">
        <v>448</v>
      </c>
      <c r="B90" s="696" t="s">
        <v>411</v>
      </c>
      <c r="C90" s="190" t="s">
        <v>225</v>
      </c>
      <c r="D90" s="190" t="s">
        <v>225</v>
      </c>
      <c r="E90" s="190" t="s">
        <v>225</v>
      </c>
      <c r="F90" s="190" t="s">
        <v>225</v>
      </c>
      <c r="G90" s="698"/>
      <c r="H90" s="698"/>
      <c r="I90" s="699" t="s">
        <v>1060</v>
      </c>
      <c r="J90" s="189" t="s">
        <v>1061</v>
      </c>
      <c r="K90" s="189" t="s">
        <v>422</v>
      </c>
      <c r="L90" s="187">
        <v>41757</v>
      </c>
      <c r="M90" s="305" t="s">
        <v>982</v>
      </c>
      <c r="N90" s="189" t="s">
        <v>439</v>
      </c>
      <c r="O90" s="189" t="s">
        <v>1062</v>
      </c>
      <c r="P90" s="189" t="s">
        <v>1059</v>
      </c>
      <c r="Q90" s="305">
        <v>4974.5200000000004</v>
      </c>
      <c r="R90" s="705" t="s">
        <v>977</v>
      </c>
      <c r="S90" s="189">
        <v>44905100</v>
      </c>
      <c r="T90" s="305">
        <f>68945.59+26866.13</f>
        <v>95811.72</v>
      </c>
      <c r="U90" s="305">
        <v>0</v>
      </c>
      <c r="V90" s="305">
        <v>0</v>
      </c>
      <c r="W90" s="305">
        <f>68945.59</f>
        <v>68945.59</v>
      </c>
      <c r="X90" s="691" t="s">
        <v>221</v>
      </c>
    </row>
    <row r="91" spans="1:26" s="129" customFormat="1" ht="51" x14ac:dyDescent="0.25">
      <c r="A91" s="189" t="s">
        <v>449</v>
      </c>
      <c r="B91" s="696" t="s">
        <v>412</v>
      </c>
      <c r="C91" s="190" t="s">
        <v>225</v>
      </c>
      <c r="D91" s="190" t="s">
        <v>225</v>
      </c>
      <c r="E91" s="190" t="s">
        <v>225</v>
      </c>
      <c r="F91" s="190" t="s">
        <v>225</v>
      </c>
      <c r="G91" s="698"/>
      <c r="H91" s="698"/>
      <c r="I91" s="699" t="s">
        <v>1063</v>
      </c>
      <c r="J91" s="189" t="s">
        <v>553</v>
      </c>
      <c r="K91" s="189" t="s">
        <v>423</v>
      </c>
      <c r="L91" s="187">
        <v>41759</v>
      </c>
      <c r="M91" s="305" t="s">
        <v>976</v>
      </c>
      <c r="N91" s="189" t="s">
        <v>1064</v>
      </c>
      <c r="O91" s="189" t="s">
        <v>1065</v>
      </c>
      <c r="P91" s="189" t="s">
        <v>1122</v>
      </c>
      <c r="Q91" s="705" t="s">
        <v>977</v>
      </c>
      <c r="R91" s="705" t="s">
        <v>977</v>
      </c>
      <c r="S91" s="189">
        <v>44905100</v>
      </c>
      <c r="T91" s="305">
        <v>131600.44</v>
      </c>
      <c r="U91" s="305">
        <v>0</v>
      </c>
      <c r="V91" s="305">
        <v>0</v>
      </c>
      <c r="W91" s="305">
        <f>91197.65</f>
        <v>91197.65</v>
      </c>
      <c r="X91" s="691" t="s">
        <v>221</v>
      </c>
    </row>
    <row r="92" spans="1:26" s="129" customFormat="1" ht="40.799999999999997" x14ac:dyDescent="0.25">
      <c r="A92" s="189" t="s">
        <v>451</v>
      </c>
      <c r="B92" s="696" t="s">
        <v>414</v>
      </c>
      <c r="C92" s="190" t="s">
        <v>225</v>
      </c>
      <c r="D92" s="190" t="s">
        <v>225</v>
      </c>
      <c r="E92" s="190" t="s">
        <v>225</v>
      </c>
      <c r="F92" s="190" t="s">
        <v>225</v>
      </c>
      <c r="G92" s="698"/>
      <c r="H92" s="698"/>
      <c r="I92" s="699" t="s">
        <v>1031</v>
      </c>
      <c r="J92" s="189" t="s">
        <v>1032</v>
      </c>
      <c r="K92" s="189" t="s">
        <v>425</v>
      </c>
      <c r="L92" s="187">
        <v>41787</v>
      </c>
      <c r="M92" s="305" t="s">
        <v>980</v>
      </c>
      <c r="N92" s="189" t="s">
        <v>442</v>
      </c>
      <c r="O92" s="189" t="s">
        <v>641</v>
      </c>
      <c r="P92" s="189" t="s">
        <v>1111</v>
      </c>
      <c r="Q92" s="705" t="s">
        <v>977</v>
      </c>
      <c r="R92" s="705" t="s">
        <v>977</v>
      </c>
      <c r="S92" s="189">
        <v>44905100</v>
      </c>
      <c r="T92" s="305"/>
      <c r="U92" s="305">
        <f>40000</f>
        <v>40000</v>
      </c>
      <c r="V92" s="305">
        <f>40000</f>
        <v>40000</v>
      </c>
      <c r="W92" s="305">
        <f>168613.79+60000+269160.33+40000</f>
        <v>537774.12</v>
      </c>
      <c r="X92" s="691" t="s">
        <v>223</v>
      </c>
    </row>
    <row r="93" spans="1:26" s="129" customFormat="1" ht="60.75" customHeight="1" x14ac:dyDescent="0.25">
      <c r="A93" s="189" t="s">
        <v>450</v>
      </c>
      <c r="B93" s="696" t="s">
        <v>413</v>
      </c>
      <c r="C93" s="190" t="s">
        <v>1096</v>
      </c>
      <c r="D93" s="190" t="s">
        <v>1083</v>
      </c>
      <c r="E93" s="188">
        <v>4516115.75</v>
      </c>
      <c r="F93" s="188">
        <v>421018.57</v>
      </c>
      <c r="G93" s="698"/>
      <c r="H93" s="698"/>
      <c r="I93" s="699" t="s">
        <v>1000</v>
      </c>
      <c r="J93" s="189" t="s">
        <v>554</v>
      </c>
      <c r="K93" s="189" t="s">
        <v>424</v>
      </c>
      <c r="L93" s="187">
        <v>41787</v>
      </c>
      <c r="M93" s="305" t="s">
        <v>976</v>
      </c>
      <c r="N93" s="189" t="s">
        <v>441</v>
      </c>
      <c r="O93" s="691" t="s">
        <v>223</v>
      </c>
      <c r="P93" s="189" t="s">
        <v>1123</v>
      </c>
      <c r="Q93" s="705" t="s">
        <v>977</v>
      </c>
      <c r="R93" s="705" t="s">
        <v>977</v>
      </c>
      <c r="S93" s="189">
        <v>44905100</v>
      </c>
      <c r="T93" s="305">
        <v>1144923.3</v>
      </c>
      <c r="U93" s="305">
        <v>0</v>
      </c>
      <c r="V93" s="305" t="s">
        <v>1084</v>
      </c>
      <c r="W93" s="305">
        <v>1144923.3</v>
      </c>
      <c r="X93" s="691" t="s">
        <v>223</v>
      </c>
    </row>
    <row r="94" spans="1:26" s="124" customFormat="1" ht="44.25" customHeight="1" x14ac:dyDescent="0.25">
      <c r="A94" s="393" t="s">
        <v>458</v>
      </c>
      <c r="B94" s="756" t="s">
        <v>420</v>
      </c>
      <c r="C94" s="390" t="s">
        <v>1066</v>
      </c>
      <c r="D94" s="390" t="s">
        <v>1047</v>
      </c>
      <c r="E94" s="386">
        <v>1990587.74</v>
      </c>
      <c r="F94" s="390">
        <v>0</v>
      </c>
      <c r="G94" s="713"/>
      <c r="H94" s="713"/>
      <c r="I94" s="703" t="s">
        <v>1018</v>
      </c>
      <c r="J94" s="393" t="s">
        <v>1071</v>
      </c>
      <c r="K94" s="393" t="s">
        <v>424</v>
      </c>
      <c r="L94" s="668">
        <v>41918</v>
      </c>
      <c r="M94" s="392" t="s">
        <v>1017</v>
      </c>
      <c r="N94" s="393" t="s">
        <v>1112</v>
      </c>
      <c r="O94" s="393" t="s">
        <v>641</v>
      </c>
      <c r="P94" s="393" t="s">
        <v>1245</v>
      </c>
      <c r="Q94" s="704" t="s">
        <v>977</v>
      </c>
      <c r="R94" s="704" t="s">
        <v>977</v>
      </c>
      <c r="S94" s="393">
        <v>44905100</v>
      </c>
      <c r="T94" s="392">
        <v>850753.46</v>
      </c>
      <c r="U94" s="392">
        <f>50000+58027.18+45000+13842.92</f>
        <v>166870.1</v>
      </c>
      <c r="V94" s="392">
        <f>50000+58027.18+45000+13842.92</f>
        <v>166870.1</v>
      </c>
      <c r="W94" s="392">
        <f>V94+T94</f>
        <v>1017623.5599999999</v>
      </c>
      <c r="X94" s="387" t="s">
        <v>223</v>
      </c>
      <c r="Z94" s="757">
        <v>1956855.63</v>
      </c>
    </row>
    <row r="95" spans="1:26" s="129" customFormat="1" ht="20.399999999999999" x14ac:dyDescent="0.25">
      <c r="A95" s="189" t="s">
        <v>459</v>
      </c>
      <c r="B95" s="692" t="s">
        <v>421</v>
      </c>
      <c r="C95" s="190" t="s">
        <v>1109</v>
      </c>
      <c r="D95" s="190" t="s">
        <v>1108</v>
      </c>
      <c r="E95" s="188">
        <v>487484.08</v>
      </c>
      <c r="F95" s="188">
        <v>42389.919999999998</v>
      </c>
      <c r="G95" s="698"/>
      <c r="H95" s="698"/>
      <c r="I95" s="699" t="s">
        <v>1067</v>
      </c>
      <c r="J95" s="189" t="s">
        <v>1068</v>
      </c>
      <c r="K95" s="189" t="s">
        <v>468</v>
      </c>
      <c r="L95" s="187">
        <v>41897</v>
      </c>
      <c r="M95" s="305" t="s">
        <v>980</v>
      </c>
      <c r="N95" s="189" t="s">
        <v>1069</v>
      </c>
      <c r="O95" s="189" t="s">
        <v>641</v>
      </c>
      <c r="P95" s="189" t="s">
        <v>1070</v>
      </c>
      <c r="Q95" s="705" t="s">
        <v>977</v>
      </c>
      <c r="R95" s="705" t="s">
        <v>977</v>
      </c>
      <c r="S95" s="189">
        <v>44905100</v>
      </c>
      <c r="T95" s="305">
        <v>44078.17</v>
      </c>
      <c r="U95" s="305">
        <v>0</v>
      </c>
      <c r="V95" s="305">
        <v>0</v>
      </c>
      <c r="W95" s="305">
        <v>20000</v>
      </c>
      <c r="X95" s="691" t="s">
        <v>223</v>
      </c>
    </row>
    <row r="96" spans="1:26" s="129" customFormat="1" x14ac:dyDescent="0.25">
      <c r="A96" s="698"/>
      <c r="B96" s="698"/>
      <c r="C96" s="698"/>
      <c r="D96" s="698"/>
      <c r="E96" s="698"/>
      <c r="F96" s="698"/>
      <c r="G96" s="698"/>
      <c r="H96" s="698"/>
      <c r="I96" s="702"/>
      <c r="J96" s="702"/>
      <c r="K96" s="702"/>
      <c r="L96" s="702"/>
      <c r="M96" s="702"/>
      <c r="N96" s="702"/>
      <c r="O96" s="702"/>
      <c r="P96" s="702"/>
      <c r="Q96" s="702"/>
      <c r="R96" s="702"/>
      <c r="S96" s="702"/>
      <c r="T96" s="702"/>
      <c r="U96" s="698"/>
      <c r="V96" s="698"/>
      <c r="W96" s="698"/>
      <c r="X96" s="698"/>
    </row>
    <row r="97" spans="1:24" s="129" customFormat="1" ht="56.25" customHeight="1" x14ac:dyDescent="0.25">
      <c r="A97" s="189" t="s">
        <v>522</v>
      </c>
      <c r="B97" s="692" t="s">
        <v>461</v>
      </c>
      <c r="C97" s="190" t="s">
        <v>225</v>
      </c>
      <c r="D97" s="190" t="s">
        <v>225</v>
      </c>
      <c r="E97" s="190" t="s">
        <v>225</v>
      </c>
      <c r="F97" s="190" t="s">
        <v>225</v>
      </c>
      <c r="G97" s="698"/>
      <c r="H97" s="698"/>
      <c r="I97" s="699" t="s">
        <v>1006</v>
      </c>
      <c r="J97" s="189" t="s">
        <v>1073</v>
      </c>
      <c r="K97" s="189" t="s">
        <v>435</v>
      </c>
      <c r="L97" s="187">
        <v>41865</v>
      </c>
      <c r="M97" s="305" t="s">
        <v>984</v>
      </c>
      <c r="N97" s="188">
        <v>77556.649999999994</v>
      </c>
      <c r="O97" s="189" t="s">
        <v>641</v>
      </c>
      <c r="P97" s="189" t="s">
        <v>1088</v>
      </c>
      <c r="Q97" s="705" t="s">
        <v>977</v>
      </c>
      <c r="R97" s="705" t="s">
        <v>977</v>
      </c>
      <c r="S97" s="495" t="s">
        <v>5</v>
      </c>
      <c r="T97" s="305">
        <v>59576.520000000004</v>
      </c>
      <c r="U97" s="305">
        <v>3131.9</v>
      </c>
      <c r="V97" s="305">
        <f>11105.51+12576.68+10512.04+3131.9</f>
        <v>37326.130000000005</v>
      </c>
      <c r="W97" s="305">
        <f>11738.35+7600+2912.04+V97</f>
        <v>59576.520000000004</v>
      </c>
      <c r="X97" s="691" t="s">
        <v>223</v>
      </c>
    </row>
    <row r="98" spans="1:24" s="129" customFormat="1" ht="44.25" customHeight="1" x14ac:dyDescent="0.25">
      <c r="A98" s="189" t="s">
        <v>524</v>
      </c>
      <c r="B98" s="692" t="s">
        <v>463</v>
      </c>
      <c r="C98" s="190" t="s">
        <v>225</v>
      </c>
      <c r="D98" s="190" t="s">
        <v>225</v>
      </c>
      <c r="E98" s="190" t="s">
        <v>225</v>
      </c>
      <c r="F98" s="190" t="s">
        <v>225</v>
      </c>
      <c r="G98" s="698"/>
      <c r="H98" s="698"/>
      <c r="I98" s="699" t="s">
        <v>926</v>
      </c>
      <c r="J98" s="189" t="s">
        <v>549</v>
      </c>
      <c r="K98" s="189" t="s">
        <v>464</v>
      </c>
      <c r="L98" s="187">
        <v>41876</v>
      </c>
      <c r="M98" s="305" t="s">
        <v>976</v>
      </c>
      <c r="N98" s="188">
        <v>265500</v>
      </c>
      <c r="O98" s="189" t="s">
        <v>1003</v>
      </c>
      <c r="P98" s="189" t="s">
        <v>1124</v>
      </c>
      <c r="Q98" s="705" t="s">
        <v>977</v>
      </c>
      <c r="R98" s="705" t="s">
        <v>977</v>
      </c>
      <c r="S98" s="189">
        <v>44905100</v>
      </c>
      <c r="T98" s="305">
        <v>207110.01</v>
      </c>
      <c r="U98" s="305">
        <v>0</v>
      </c>
      <c r="V98" s="305">
        <f>6825.57</f>
        <v>6825.57</v>
      </c>
      <c r="W98" s="305">
        <f>20284.44+50000+130000+V98</f>
        <v>207110.01</v>
      </c>
      <c r="X98" s="691" t="s">
        <v>221</v>
      </c>
    </row>
    <row r="99" spans="1:24" s="129" customFormat="1" ht="20.399999999999999" x14ac:dyDescent="0.25">
      <c r="A99" s="189" t="s">
        <v>527</v>
      </c>
      <c r="B99" s="692" t="s">
        <v>471</v>
      </c>
      <c r="C99" s="190" t="s">
        <v>225</v>
      </c>
      <c r="D99" s="190" t="s">
        <v>225</v>
      </c>
      <c r="E99" s="190" t="s">
        <v>225</v>
      </c>
      <c r="F99" s="190" t="s">
        <v>225</v>
      </c>
      <c r="G99" s="698"/>
      <c r="H99" s="698"/>
      <c r="I99" s="699" t="s">
        <v>978</v>
      </c>
      <c r="J99" s="187" t="s">
        <v>570</v>
      </c>
      <c r="K99" s="187" t="s">
        <v>466</v>
      </c>
      <c r="L99" s="187">
        <v>41884</v>
      </c>
      <c r="M99" s="305" t="s">
        <v>982</v>
      </c>
      <c r="N99" s="188">
        <v>120282.25</v>
      </c>
      <c r="O99" s="189" t="s">
        <v>1077</v>
      </c>
      <c r="P99" s="705" t="s">
        <v>977</v>
      </c>
      <c r="Q99" s="705" t="s">
        <v>977</v>
      </c>
      <c r="R99" s="705" t="s">
        <v>977</v>
      </c>
      <c r="S99" s="189">
        <v>44905100</v>
      </c>
      <c r="T99" s="305">
        <f>47696.61+40000+20095.54</f>
        <v>107792.15</v>
      </c>
      <c r="U99" s="305">
        <v>0</v>
      </c>
      <c r="V99" s="305">
        <v>0</v>
      </c>
      <c r="W99" s="305">
        <f>20095.54+40000+47696.61</f>
        <v>107792.15</v>
      </c>
      <c r="X99" s="691" t="s">
        <v>221</v>
      </c>
    </row>
    <row r="100" spans="1:24" s="129" customFormat="1" ht="20.399999999999999" x14ac:dyDescent="0.25">
      <c r="A100" s="189" t="s">
        <v>529</v>
      </c>
      <c r="B100" s="692" t="s">
        <v>473</v>
      </c>
      <c r="C100" s="190" t="s">
        <v>1066</v>
      </c>
      <c r="D100" s="190" t="s">
        <v>1047</v>
      </c>
      <c r="E100" s="188">
        <v>424104.96000000002</v>
      </c>
      <c r="F100" s="188">
        <v>525895.04</v>
      </c>
      <c r="G100" s="698"/>
      <c r="H100" s="698"/>
      <c r="I100" s="702" t="s">
        <v>1067</v>
      </c>
      <c r="J100" s="187" t="s">
        <v>1068</v>
      </c>
      <c r="K100" s="187" t="s">
        <v>504</v>
      </c>
      <c r="L100" s="187">
        <v>41961</v>
      </c>
      <c r="M100" s="305" t="s">
        <v>1002</v>
      </c>
      <c r="N100" s="188">
        <v>950000</v>
      </c>
      <c r="O100" s="189" t="s">
        <v>641</v>
      </c>
      <c r="P100" s="189" t="s">
        <v>1125</v>
      </c>
      <c r="Q100" s="705" t="s">
        <v>977</v>
      </c>
      <c r="R100" s="705" t="s">
        <v>977</v>
      </c>
      <c r="S100" s="189">
        <v>44905100</v>
      </c>
      <c r="T100" s="305">
        <v>125436.65</v>
      </c>
      <c r="U100" s="305">
        <v>0</v>
      </c>
      <c r="V100" s="305">
        <v>0</v>
      </c>
      <c r="W100" s="305">
        <f>125436.65</f>
        <v>125436.65</v>
      </c>
      <c r="X100" s="495" t="s">
        <v>223</v>
      </c>
    </row>
    <row r="101" spans="1:24" s="129" customFormat="1" ht="30.6" x14ac:dyDescent="0.25">
      <c r="A101" s="189" t="s">
        <v>531</v>
      </c>
      <c r="B101" s="696" t="s">
        <v>475</v>
      </c>
      <c r="C101" s="190" t="s">
        <v>225</v>
      </c>
      <c r="D101" s="190" t="s">
        <v>225</v>
      </c>
      <c r="E101" s="190" t="s">
        <v>225</v>
      </c>
      <c r="F101" s="190" t="s">
        <v>225</v>
      </c>
      <c r="G101" s="698"/>
      <c r="H101" s="698"/>
      <c r="I101" s="699" t="s">
        <v>1074</v>
      </c>
      <c r="J101" s="189" t="s">
        <v>1075</v>
      </c>
      <c r="K101" s="187" t="s">
        <v>505</v>
      </c>
      <c r="L101" s="187">
        <v>41961</v>
      </c>
      <c r="M101" s="305" t="s">
        <v>980</v>
      </c>
      <c r="N101" s="188">
        <v>1291865.8799999999</v>
      </c>
      <c r="O101" s="189" t="s">
        <v>1126</v>
      </c>
      <c r="P101" s="189" t="s">
        <v>1094</v>
      </c>
      <c r="Q101" s="189" t="s">
        <v>1093</v>
      </c>
      <c r="R101" s="705" t="s">
        <v>977</v>
      </c>
      <c r="S101" s="189">
        <v>44905100</v>
      </c>
      <c r="T101" s="305">
        <f>35364.62+252279.5+94329.79+139729.8+166977.64+169628.44+132033.8+110604.74+111780.5+79245.55+9371.4+51557.31+24380.6+15700.15</f>
        <v>1392983.84</v>
      </c>
      <c r="U101" s="305">
        <f>65000+62432.81+51557.31+9371.4+14245.55+15700.15+24380.6</f>
        <v>242687.81999999998</v>
      </c>
      <c r="V101" s="305">
        <f>110604.74+111780.5+139729.8+94329.79+166977.64+169628.44+132033.809+162279.5</f>
        <v>1087364.219</v>
      </c>
      <c r="W101" s="305">
        <f>V101+U101</f>
        <v>1330052.0390000001</v>
      </c>
      <c r="X101" s="495" t="s">
        <v>223</v>
      </c>
    </row>
    <row r="102" spans="1:24" s="129" customFormat="1" ht="61.2" x14ac:dyDescent="0.25">
      <c r="A102" s="189" t="s">
        <v>533</v>
      </c>
      <c r="B102" s="696" t="s">
        <v>476</v>
      </c>
      <c r="C102" s="190" t="s">
        <v>225</v>
      </c>
      <c r="D102" s="190" t="s">
        <v>225</v>
      </c>
      <c r="E102" s="190" t="s">
        <v>225</v>
      </c>
      <c r="F102" s="190" t="s">
        <v>225</v>
      </c>
      <c r="G102" s="698"/>
      <c r="H102" s="698"/>
      <c r="I102" s="188" t="s">
        <v>1080</v>
      </c>
      <c r="J102" s="187" t="s">
        <v>1079</v>
      </c>
      <c r="K102" s="187" t="s">
        <v>494</v>
      </c>
      <c r="L102" s="187">
        <v>41913</v>
      </c>
      <c r="M102" s="305" t="s">
        <v>982</v>
      </c>
      <c r="N102" s="188">
        <v>110437.88</v>
      </c>
      <c r="O102" s="691" t="s">
        <v>4</v>
      </c>
      <c r="P102" s="189" t="s">
        <v>1127</v>
      </c>
      <c r="Q102" s="705" t="s">
        <v>977</v>
      </c>
      <c r="R102" s="705" t="s">
        <v>977</v>
      </c>
      <c r="S102" s="189">
        <v>44905100</v>
      </c>
      <c r="T102" s="305">
        <f>40959.7</f>
        <v>40959.699999999997</v>
      </c>
      <c r="U102" s="305">
        <v>0</v>
      </c>
      <c r="V102" s="305">
        <v>0</v>
      </c>
      <c r="W102" s="305">
        <f>40959.7</f>
        <v>40959.699999999997</v>
      </c>
      <c r="X102" s="691" t="s">
        <v>4</v>
      </c>
    </row>
    <row r="103" spans="1:24" s="129" customFormat="1" ht="101.25" customHeight="1" x14ac:dyDescent="0.25">
      <c r="A103" s="189" t="s">
        <v>534</v>
      </c>
      <c r="B103" s="696" t="s">
        <v>477</v>
      </c>
      <c r="C103" s="190" t="s">
        <v>225</v>
      </c>
      <c r="D103" s="190" t="s">
        <v>225</v>
      </c>
      <c r="E103" s="190" t="s">
        <v>225</v>
      </c>
      <c r="F103" s="190" t="s">
        <v>225</v>
      </c>
      <c r="G103" s="698"/>
      <c r="H103" s="698"/>
      <c r="I103" s="699" t="s">
        <v>1006</v>
      </c>
      <c r="J103" s="189" t="s">
        <v>1073</v>
      </c>
      <c r="K103" s="187" t="s">
        <v>496</v>
      </c>
      <c r="L103" s="187">
        <v>41915</v>
      </c>
      <c r="M103" s="305" t="s">
        <v>1072</v>
      </c>
      <c r="N103" s="188">
        <v>26960.95</v>
      </c>
      <c r="O103" s="691" t="s">
        <v>4</v>
      </c>
      <c r="P103" s="189" t="s">
        <v>1131</v>
      </c>
      <c r="Q103" s="705" t="s">
        <v>977</v>
      </c>
      <c r="R103" s="705" t="s">
        <v>977</v>
      </c>
      <c r="S103" s="189">
        <v>44905100</v>
      </c>
      <c r="T103" s="305">
        <v>16060.07</v>
      </c>
      <c r="U103" s="305">
        <v>0</v>
      </c>
      <c r="V103" s="305">
        <v>0</v>
      </c>
      <c r="W103" s="305">
        <f>16060.07</f>
        <v>16060.07</v>
      </c>
      <c r="X103" s="691" t="s">
        <v>4</v>
      </c>
    </row>
    <row r="104" spans="1:24" s="129" customFormat="1" x14ac:dyDescent="0.25">
      <c r="A104" s="698"/>
      <c r="B104" s="698"/>
      <c r="C104" s="698"/>
      <c r="D104" s="698"/>
      <c r="E104" s="698"/>
      <c r="F104" s="698"/>
      <c r="G104" s="698"/>
      <c r="H104" s="698"/>
      <c r="I104" s="702"/>
      <c r="J104" s="702"/>
      <c r="K104" s="702"/>
      <c r="L104" s="702"/>
      <c r="M104" s="702"/>
      <c r="N104" s="702"/>
      <c r="O104" s="702"/>
      <c r="P104" s="702"/>
      <c r="Q104" s="702"/>
      <c r="R104" s="702"/>
      <c r="S104" s="702"/>
      <c r="T104" s="702"/>
      <c r="U104" s="698"/>
      <c r="V104" s="698"/>
      <c r="W104" s="698"/>
      <c r="X104" s="698"/>
    </row>
    <row r="105" spans="1:24" s="129" customFormat="1" ht="51" x14ac:dyDescent="0.25">
      <c r="A105" s="189" t="s">
        <v>535</v>
      </c>
      <c r="B105" s="696" t="s">
        <v>478</v>
      </c>
      <c r="C105" s="190" t="s">
        <v>225</v>
      </c>
      <c r="D105" s="190" t="s">
        <v>225</v>
      </c>
      <c r="E105" s="190" t="s">
        <v>225</v>
      </c>
      <c r="F105" s="190" t="s">
        <v>225</v>
      </c>
      <c r="G105" s="698"/>
      <c r="H105" s="698"/>
      <c r="I105" s="188" t="s">
        <v>941</v>
      </c>
      <c r="J105" s="187" t="s">
        <v>939</v>
      </c>
      <c r="K105" s="187" t="s">
        <v>498</v>
      </c>
      <c r="L105" s="187">
        <v>41920</v>
      </c>
      <c r="M105" s="305" t="s">
        <v>990</v>
      </c>
      <c r="N105" s="188">
        <v>140988.01999999999</v>
      </c>
      <c r="O105" s="691" t="s">
        <v>4</v>
      </c>
      <c r="P105" s="189" t="s">
        <v>1128</v>
      </c>
      <c r="Q105" s="705" t="s">
        <v>977</v>
      </c>
      <c r="R105" s="705" t="s">
        <v>977</v>
      </c>
      <c r="S105" s="189">
        <v>44905100</v>
      </c>
      <c r="T105" s="305">
        <v>2972.84</v>
      </c>
      <c r="U105" s="305">
        <v>0</v>
      </c>
      <c r="V105" s="305">
        <v>0</v>
      </c>
      <c r="W105" s="305">
        <f>V105</f>
        <v>0</v>
      </c>
      <c r="X105" s="691" t="s">
        <v>4</v>
      </c>
    </row>
    <row r="106" spans="1:24" s="129" customFormat="1" ht="61.2" x14ac:dyDescent="0.25">
      <c r="A106" s="189" t="s">
        <v>536</v>
      </c>
      <c r="B106" s="696" t="s">
        <v>479</v>
      </c>
      <c r="C106" s="190" t="s">
        <v>225</v>
      </c>
      <c r="D106" s="190" t="s">
        <v>225</v>
      </c>
      <c r="E106" s="190" t="s">
        <v>225</v>
      </c>
      <c r="F106" s="190" t="s">
        <v>225</v>
      </c>
      <c r="G106" s="698"/>
      <c r="H106" s="698"/>
      <c r="I106" s="699" t="s">
        <v>978</v>
      </c>
      <c r="J106" s="187" t="s">
        <v>570</v>
      </c>
      <c r="K106" s="187" t="s">
        <v>499</v>
      </c>
      <c r="L106" s="187">
        <v>41926</v>
      </c>
      <c r="M106" s="305" t="s">
        <v>982</v>
      </c>
      <c r="N106" s="188">
        <v>129117.38</v>
      </c>
      <c r="O106" s="691" t="s">
        <v>4</v>
      </c>
      <c r="P106" s="189" t="s">
        <v>1127</v>
      </c>
      <c r="Q106" s="705" t="s">
        <v>977</v>
      </c>
      <c r="R106" s="705" t="s">
        <v>977</v>
      </c>
      <c r="S106" s="189">
        <v>44905100</v>
      </c>
      <c r="T106" s="305">
        <v>75030.2</v>
      </c>
      <c r="U106" s="305">
        <v>0</v>
      </c>
      <c r="V106" s="188">
        <f>30300+7215.1</f>
        <v>37515.1</v>
      </c>
      <c r="W106" s="188">
        <f>37515.1+V106</f>
        <v>75030.2</v>
      </c>
      <c r="X106" s="691" t="s">
        <v>4</v>
      </c>
    </row>
    <row r="107" spans="1:24" s="129" customFormat="1" ht="51" x14ac:dyDescent="0.25">
      <c r="A107" s="189" t="s">
        <v>537</v>
      </c>
      <c r="B107" s="696" t="s">
        <v>480</v>
      </c>
      <c r="C107" s="190" t="s">
        <v>225</v>
      </c>
      <c r="D107" s="190" t="s">
        <v>225</v>
      </c>
      <c r="E107" s="190" t="s">
        <v>225</v>
      </c>
      <c r="F107" s="190" t="s">
        <v>225</v>
      </c>
      <c r="G107" s="698"/>
      <c r="H107" s="698"/>
      <c r="I107" s="699" t="s">
        <v>1006</v>
      </c>
      <c r="J107" s="189" t="s">
        <v>1073</v>
      </c>
      <c r="K107" s="187" t="s">
        <v>501</v>
      </c>
      <c r="L107" s="187">
        <v>41932</v>
      </c>
      <c r="M107" s="305" t="s">
        <v>976</v>
      </c>
      <c r="N107" s="188">
        <v>135335.89000000001</v>
      </c>
      <c r="O107" s="691" t="s">
        <v>4</v>
      </c>
      <c r="P107" s="189" t="s">
        <v>1129</v>
      </c>
      <c r="Q107" s="705">
        <v>-30342</v>
      </c>
      <c r="R107" s="705" t="s">
        <v>977</v>
      </c>
      <c r="S107" s="189">
        <v>44905100</v>
      </c>
      <c r="T107" s="305"/>
      <c r="U107" s="305">
        <f>16193.8</f>
        <v>16193.8</v>
      </c>
      <c r="V107" s="305">
        <f>U107</f>
        <v>16193.8</v>
      </c>
      <c r="W107" s="305">
        <f>88603.13+V107</f>
        <v>104796.93000000001</v>
      </c>
      <c r="X107" s="691" t="s">
        <v>4</v>
      </c>
    </row>
    <row r="108" spans="1:24" s="129" customFormat="1" ht="20.399999999999999" x14ac:dyDescent="0.25">
      <c r="A108" s="189" t="s">
        <v>538</v>
      </c>
      <c r="B108" s="696" t="s">
        <v>481</v>
      </c>
      <c r="C108" s="190" t="s">
        <v>225</v>
      </c>
      <c r="D108" s="190" t="s">
        <v>225</v>
      </c>
      <c r="E108" s="190" t="s">
        <v>225</v>
      </c>
      <c r="F108" s="190" t="s">
        <v>225</v>
      </c>
      <c r="G108" s="698"/>
      <c r="H108" s="698"/>
      <c r="I108" s="699" t="s">
        <v>1081</v>
      </c>
      <c r="J108" s="189" t="s">
        <v>1085</v>
      </c>
      <c r="K108" s="187" t="s">
        <v>645</v>
      </c>
      <c r="L108" s="187">
        <v>42149</v>
      </c>
      <c r="M108" s="305" t="s">
        <v>980</v>
      </c>
      <c r="N108" s="188">
        <v>3316951.94</v>
      </c>
      <c r="O108" s="305" t="s">
        <v>4</v>
      </c>
      <c r="P108" s="305" t="s">
        <v>980</v>
      </c>
      <c r="Q108" s="705" t="s">
        <v>977</v>
      </c>
      <c r="R108" s="705" t="s">
        <v>977</v>
      </c>
      <c r="S108" s="189">
        <v>44905100</v>
      </c>
      <c r="T108" s="305">
        <v>164714.47</v>
      </c>
      <c r="U108" s="305">
        <v>0</v>
      </c>
      <c r="V108" s="188">
        <f>87000+77714.47</f>
        <v>164714.47</v>
      </c>
      <c r="W108" s="188">
        <f>V108</f>
        <v>164714.47</v>
      </c>
      <c r="X108" s="691" t="s">
        <v>4</v>
      </c>
    </row>
    <row r="109" spans="1:24" s="129" customFormat="1" ht="20.399999999999999" x14ac:dyDescent="0.25">
      <c r="A109" s="189" t="s">
        <v>539</v>
      </c>
      <c r="B109" s="696" t="s">
        <v>482</v>
      </c>
      <c r="C109" s="190" t="s">
        <v>225</v>
      </c>
      <c r="D109" s="190" t="s">
        <v>225</v>
      </c>
      <c r="E109" s="190" t="s">
        <v>225</v>
      </c>
      <c r="F109" s="190" t="s">
        <v>225</v>
      </c>
      <c r="G109" s="698"/>
      <c r="H109" s="698"/>
      <c r="I109" s="189" t="s">
        <v>1074</v>
      </c>
      <c r="J109" s="189" t="s">
        <v>1075</v>
      </c>
      <c r="K109" s="187" t="s">
        <v>618</v>
      </c>
      <c r="L109" s="187">
        <v>42062</v>
      </c>
      <c r="M109" s="305" t="s">
        <v>1082</v>
      </c>
      <c r="N109" s="188">
        <v>3329568.49</v>
      </c>
      <c r="O109" s="305" t="s">
        <v>4</v>
      </c>
      <c r="P109" s="705" t="s">
        <v>977</v>
      </c>
      <c r="Q109" s="188">
        <v>55563.01</v>
      </c>
      <c r="R109" s="705" t="s">
        <v>977</v>
      </c>
      <c r="S109" s="189">
        <v>44905100</v>
      </c>
      <c r="T109" s="305">
        <v>62354.91</v>
      </c>
      <c r="U109" s="305">
        <f>6791.9</f>
        <v>6791.9</v>
      </c>
      <c r="V109" s="188">
        <f>55563.01</f>
        <v>55563.01</v>
      </c>
      <c r="W109" s="188">
        <f>V109+U109</f>
        <v>62354.91</v>
      </c>
      <c r="X109" s="691" t="s">
        <v>4</v>
      </c>
    </row>
    <row r="110" spans="1:24" s="129" customFormat="1" ht="30.6" x14ac:dyDescent="0.25">
      <c r="A110" s="189" t="s">
        <v>541</v>
      </c>
      <c r="B110" s="696" t="s">
        <v>1098</v>
      </c>
      <c r="C110" s="190" t="s">
        <v>225</v>
      </c>
      <c r="D110" s="190" t="s">
        <v>225</v>
      </c>
      <c r="E110" s="190" t="s">
        <v>225</v>
      </c>
      <c r="F110" s="190" t="s">
        <v>225</v>
      </c>
      <c r="G110" s="698"/>
      <c r="H110" s="698"/>
      <c r="I110" s="188" t="s">
        <v>941</v>
      </c>
      <c r="J110" s="187" t="s">
        <v>939</v>
      </c>
      <c r="K110" s="187" t="s">
        <v>507</v>
      </c>
      <c r="L110" s="187">
        <v>41971</v>
      </c>
      <c r="M110" s="305" t="s">
        <v>984</v>
      </c>
      <c r="N110" s="188">
        <v>9852.77</v>
      </c>
      <c r="O110" s="691" t="s">
        <v>598</v>
      </c>
      <c r="P110" s="705" t="s">
        <v>977</v>
      </c>
      <c r="Q110" s="705" t="s">
        <v>977</v>
      </c>
      <c r="R110" s="705" t="s">
        <v>977</v>
      </c>
      <c r="S110" s="189">
        <v>44905100</v>
      </c>
      <c r="T110" s="305">
        <v>0</v>
      </c>
      <c r="U110" s="305">
        <v>0</v>
      </c>
      <c r="V110" s="305">
        <v>0</v>
      </c>
      <c r="W110" s="188">
        <v>0</v>
      </c>
      <c r="X110" s="691" t="s">
        <v>598</v>
      </c>
    </row>
    <row r="111" spans="1:24" s="129" customFormat="1" ht="30.6" x14ac:dyDescent="0.25">
      <c r="A111" s="189" t="s">
        <v>542</v>
      </c>
      <c r="B111" s="696" t="s">
        <v>1099</v>
      </c>
      <c r="C111" s="190" t="s">
        <v>225</v>
      </c>
      <c r="D111" s="190" t="s">
        <v>225</v>
      </c>
      <c r="E111" s="190" t="s">
        <v>225</v>
      </c>
      <c r="F111" s="190" t="s">
        <v>225</v>
      </c>
      <c r="G111" s="698"/>
      <c r="H111" s="698"/>
      <c r="I111" s="699" t="s">
        <v>1081</v>
      </c>
      <c r="J111" s="189" t="s">
        <v>1085</v>
      </c>
      <c r="K111" s="189" t="s">
        <v>513</v>
      </c>
      <c r="L111" s="187">
        <v>41992</v>
      </c>
      <c r="M111" s="305" t="s">
        <v>976</v>
      </c>
      <c r="N111" s="188">
        <v>395308.55</v>
      </c>
      <c r="O111" s="691" t="s">
        <v>4</v>
      </c>
      <c r="P111" s="189" t="s">
        <v>1076</v>
      </c>
      <c r="Q111" s="705" t="s">
        <v>977</v>
      </c>
      <c r="R111" s="705" t="s">
        <v>977</v>
      </c>
      <c r="S111" s="189">
        <v>44905100</v>
      </c>
      <c r="T111" s="305">
        <v>137891.33000000002</v>
      </c>
      <c r="U111" s="305">
        <v>0</v>
      </c>
      <c r="V111" s="188">
        <f>87225.38+50665.95</f>
        <v>137891.33000000002</v>
      </c>
      <c r="W111" s="188">
        <f>87225.38+50665.95</f>
        <v>137891.33000000002</v>
      </c>
      <c r="X111" s="691" t="s">
        <v>4</v>
      </c>
    </row>
    <row r="112" spans="1:24" s="185" customFormat="1" ht="30.6" x14ac:dyDescent="0.25">
      <c r="A112" s="189" t="s">
        <v>543</v>
      </c>
      <c r="B112" s="696" t="s">
        <v>1100</v>
      </c>
      <c r="C112" s="190" t="s">
        <v>225</v>
      </c>
      <c r="D112" s="190" t="s">
        <v>225</v>
      </c>
      <c r="E112" s="190" t="s">
        <v>225</v>
      </c>
      <c r="F112" s="190" t="s">
        <v>225</v>
      </c>
      <c r="G112" s="698"/>
      <c r="H112" s="698"/>
      <c r="I112" s="699" t="s">
        <v>1025</v>
      </c>
      <c r="J112" s="189" t="s">
        <v>830</v>
      </c>
      <c r="K112" s="189" t="s">
        <v>512</v>
      </c>
      <c r="L112" s="187">
        <v>41994</v>
      </c>
      <c r="M112" s="305" t="s">
        <v>1082</v>
      </c>
      <c r="N112" s="188">
        <v>172800</v>
      </c>
      <c r="O112" s="189" t="s">
        <v>1089</v>
      </c>
      <c r="P112" s="305" t="s">
        <v>977</v>
      </c>
      <c r="Q112" s="305">
        <v>42300</v>
      </c>
      <c r="R112" s="305" t="s">
        <v>977</v>
      </c>
      <c r="S112" s="189">
        <v>44905100</v>
      </c>
      <c r="T112" s="188">
        <f>17280+17280+17280+17280+17280+17280+34100+17600+42300+17280</f>
        <v>214960</v>
      </c>
      <c r="U112" s="305">
        <f>34100+17600+12400+14950+14950</f>
        <v>94000</v>
      </c>
      <c r="V112" s="188">
        <f>34100+17600+12400+14950+14950+17280+17280+17280+17280+17280+17280+17280</f>
        <v>214960</v>
      </c>
      <c r="W112" s="188">
        <f>V112</f>
        <v>214960</v>
      </c>
      <c r="X112" s="691" t="s">
        <v>221</v>
      </c>
    </row>
    <row r="113" spans="1:24" s="129" customFormat="1" ht="20.399999999999999" x14ac:dyDescent="0.25">
      <c r="A113" s="189" t="s">
        <v>544</v>
      </c>
      <c r="B113" s="696" t="s">
        <v>1101</v>
      </c>
      <c r="C113" s="190" t="s">
        <v>225</v>
      </c>
      <c r="D113" s="190" t="s">
        <v>225</v>
      </c>
      <c r="E113" s="190" t="s">
        <v>225</v>
      </c>
      <c r="F113" s="190" t="s">
        <v>225</v>
      </c>
      <c r="G113" s="698"/>
      <c r="H113" s="698"/>
      <c r="I113" s="699" t="s">
        <v>1031</v>
      </c>
      <c r="J113" s="189" t="s">
        <v>1032</v>
      </c>
      <c r="K113" s="189" t="s">
        <v>586</v>
      </c>
      <c r="L113" s="187">
        <v>42040</v>
      </c>
      <c r="M113" s="305" t="s">
        <v>1090</v>
      </c>
      <c r="N113" s="188">
        <v>53068701.600000001</v>
      </c>
      <c r="O113" s="699" t="s">
        <v>4</v>
      </c>
      <c r="P113" s="705" t="s">
        <v>977</v>
      </c>
      <c r="Q113" s="705" t="s">
        <v>977</v>
      </c>
      <c r="R113" s="705" t="s">
        <v>977</v>
      </c>
      <c r="S113" s="189" t="s">
        <v>1015</v>
      </c>
      <c r="T113" s="188"/>
      <c r="U113" s="305">
        <f>245000+392131.92+310000+336932.65+330000</f>
        <v>1614064.5699999998</v>
      </c>
      <c r="V113" s="188">
        <f>245000+392131.92+310000+336932.65+330000</f>
        <v>1614064.5699999998</v>
      </c>
      <c r="W113" s="188">
        <f>1917455.37+4263215.19+V113</f>
        <v>7794735.1300000008</v>
      </c>
      <c r="X113" s="691" t="s">
        <v>221</v>
      </c>
    </row>
    <row r="114" spans="1:24" s="129" customFormat="1" ht="20.399999999999999" x14ac:dyDescent="0.25">
      <c r="A114" s="189" t="s">
        <v>546</v>
      </c>
      <c r="B114" s="696" t="s">
        <v>489</v>
      </c>
      <c r="C114" s="190" t="s">
        <v>225</v>
      </c>
      <c r="D114" s="190" t="s">
        <v>225</v>
      </c>
      <c r="E114" s="190" t="s">
        <v>225</v>
      </c>
      <c r="F114" s="190" t="s">
        <v>225</v>
      </c>
      <c r="G114" s="698"/>
      <c r="H114" s="698"/>
      <c r="I114" s="699" t="s">
        <v>978</v>
      </c>
      <c r="J114" s="187" t="s">
        <v>570</v>
      </c>
      <c r="K114" s="189" t="s">
        <v>510</v>
      </c>
      <c r="L114" s="187">
        <v>41982</v>
      </c>
      <c r="M114" s="305" t="s">
        <v>1091</v>
      </c>
      <c r="N114" s="188">
        <v>99751.56</v>
      </c>
      <c r="O114" s="189" t="s">
        <v>1092</v>
      </c>
      <c r="P114" s="305" t="s">
        <v>1091</v>
      </c>
      <c r="Q114" s="305">
        <v>24653.31</v>
      </c>
      <c r="R114" s="705" t="s">
        <v>977</v>
      </c>
      <c r="S114" s="189">
        <v>44905100</v>
      </c>
      <c r="T114" s="305">
        <v>124046.17000000001</v>
      </c>
      <c r="U114" s="305">
        <v>0</v>
      </c>
      <c r="V114" s="305">
        <f>50000+4467.33+24294.61+45284.23</f>
        <v>124046.17000000001</v>
      </c>
      <c r="W114" s="188">
        <f>50000+4467.33+24294.61+45284.23</f>
        <v>124046.17000000001</v>
      </c>
      <c r="X114" s="691" t="s">
        <v>221</v>
      </c>
    </row>
  </sheetData>
  <mergeCells count="45">
    <mergeCell ref="B80:K80"/>
    <mergeCell ref="B85:K85"/>
    <mergeCell ref="B14:K14"/>
    <mergeCell ref="B47:K47"/>
    <mergeCell ref="B58:K58"/>
    <mergeCell ref="B65:K65"/>
    <mergeCell ref="B74:K74"/>
    <mergeCell ref="B77:K77"/>
    <mergeCell ref="G10:G12"/>
    <mergeCell ref="H10:H12"/>
    <mergeCell ref="I10:I12"/>
    <mergeCell ref="J10:J12"/>
    <mergeCell ref="K10:K12"/>
    <mergeCell ref="X9:X12"/>
    <mergeCell ref="M10:M12"/>
    <mergeCell ref="N10:N12"/>
    <mergeCell ref="O10:O12"/>
    <mergeCell ref="P10:P12"/>
    <mergeCell ref="K9:O9"/>
    <mergeCell ref="P9:Q9"/>
    <mergeCell ref="R9:R12"/>
    <mergeCell ref="S9:V9"/>
    <mergeCell ref="W9:W12"/>
    <mergeCell ref="L10:L12"/>
    <mergeCell ref="Q10:Q12"/>
    <mergeCell ref="S10:S12"/>
    <mergeCell ref="T10:T12"/>
    <mergeCell ref="U10:U12"/>
    <mergeCell ref="V10:V12"/>
    <mergeCell ref="C9:F9"/>
    <mergeCell ref="I9:J9"/>
    <mergeCell ref="B41:K41"/>
    <mergeCell ref="B42:K42"/>
    <mergeCell ref="A1:I1"/>
    <mergeCell ref="A2:I2"/>
    <mergeCell ref="A3:I3"/>
    <mergeCell ref="A4:I4"/>
    <mergeCell ref="E8:I8"/>
    <mergeCell ref="A10:A12"/>
    <mergeCell ref="B10:B12"/>
    <mergeCell ref="C10:C12"/>
    <mergeCell ref="D10:D12"/>
    <mergeCell ref="E10:E12"/>
    <mergeCell ref="F10:F12"/>
    <mergeCell ref="B13:K13"/>
  </mergeCells>
  <pageMargins left="0.51181102362204722" right="0.51181102362204722" top="0.78740157480314965" bottom="0.78740157480314965" header="0.31496062992125984" footer="0.31496062992125984"/>
  <pageSetup paperSize="9" scale="60" orientation="landscape" horizontalDpi="0" verticalDpi="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116"/>
  <sheetViews>
    <sheetView view="pageBreakPreview" topLeftCell="J92" zoomScale="90" zoomScaleNormal="85" zoomScaleSheetLayoutView="90" workbookViewId="0">
      <selection activeCell="U72" sqref="U72:V72"/>
    </sheetView>
  </sheetViews>
  <sheetFormatPr defaultColWidth="9.109375" defaultRowHeight="13.2" x14ac:dyDescent="0.25"/>
  <cols>
    <col min="1" max="1" width="11.33203125" style="821" customWidth="1"/>
    <col min="2" max="2" width="56.33203125" style="3" customWidth="1"/>
    <col min="3" max="3" width="14.33203125" style="821" hidden="1" customWidth="1"/>
    <col min="4" max="4" width="13.109375" style="835" hidden="1" customWidth="1"/>
    <col min="5" max="5" width="15.5546875" style="821" hidden="1" customWidth="1"/>
    <col min="6" max="6" width="14.44140625" style="821" hidden="1" customWidth="1"/>
    <col min="7" max="7" width="10.6640625" style="3" hidden="1" customWidth="1"/>
    <col min="8" max="8" width="0.109375" style="3" hidden="1" customWidth="1"/>
    <col min="9" max="9" width="18.33203125" style="23" customWidth="1"/>
    <col min="10" max="10" width="25" style="23" customWidth="1"/>
    <col min="11" max="11" width="15.44140625" style="23" customWidth="1"/>
    <col min="12" max="12" width="12.44140625" style="23" customWidth="1"/>
    <col min="13" max="13" width="11.109375" style="23" customWidth="1"/>
    <col min="14" max="14" width="13.44140625" style="23" customWidth="1"/>
    <col min="15" max="15" width="13.109375" style="23" customWidth="1"/>
    <col min="16" max="16" width="11.44140625" style="23" customWidth="1"/>
    <col min="17" max="17" width="13.6640625" style="23" customWidth="1"/>
    <col min="18" max="18" width="11.6640625" style="23" customWidth="1"/>
    <col min="19" max="19" width="11.109375" style="23" customWidth="1"/>
    <col min="20" max="20" width="16.44140625" style="23" customWidth="1"/>
    <col min="21" max="21" width="14.88671875" style="3" customWidth="1"/>
    <col min="22" max="22" width="14.5546875" style="3" customWidth="1"/>
    <col min="23" max="23" width="15" style="3" customWidth="1"/>
    <col min="24" max="24" width="14.44140625" style="821" bestFit="1" customWidth="1"/>
    <col min="25" max="25" width="10.6640625" style="129" customWidth="1"/>
    <col min="26" max="26" width="10" style="3" bestFit="1" customWidth="1"/>
    <col min="27" max="27" width="16.44140625" style="3" customWidth="1"/>
    <col min="28" max="28" width="9.6640625" style="3" customWidth="1"/>
    <col min="29" max="38" width="8.6640625" style="3" customWidth="1"/>
    <col min="39" max="16384" width="9.109375" style="3"/>
  </cols>
  <sheetData>
    <row r="1" spans="1:25" ht="22.8" x14ac:dyDescent="0.4">
      <c r="A1" s="899" t="s">
        <v>20</v>
      </c>
      <c r="B1" s="899"/>
      <c r="C1" s="899"/>
      <c r="D1" s="899"/>
      <c r="E1" s="899"/>
      <c r="F1" s="899"/>
      <c r="G1" s="899"/>
      <c r="H1" s="899"/>
      <c r="I1" s="899"/>
      <c r="J1" s="899"/>
      <c r="K1" s="899"/>
      <c r="L1" s="899"/>
      <c r="M1" s="899"/>
      <c r="N1" s="899"/>
      <c r="O1" s="899"/>
      <c r="P1" s="899"/>
      <c r="Q1" s="899"/>
      <c r="R1" s="899"/>
      <c r="S1" s="899"/>
      <c r="T1" s="899"/>
      <c r="U1" s="899"/>
      <c r="V1" s="899"/>
      <c r="W1" s="899"/>
      <c r="X1" s="899"/>
    </row>
    <row r="2" spans="1:25" ht="17.399999999999999" x14ac:dyDescent="0.3">
      <c r="A2" s="901" t="s">
        <v>21</v>
      </c>
      <c r="B2" s="901"/>
      <c r="C2" s="901"/>
      <c r="D2" s="901"/>
      <c r="E2" s="901"/>
      <c r="F2" s="901"/>
      <c r="G2" s="901"/>
      <c r="H2" s="901"/>
      <c r="I2" s="901"/>
      <c r="J2" s="901"/>
      <c r="K2" s="901"/>
      <c r="L2" s="901"/>
      <c r="M2" s="901"/>
      <c r="N2" s="901"/>
      <c r="O2" s="901"/>
      <c r="P2" s="901"/>
      <c r="Q2" s="901"/>
      <c r="R2" s="901"/>
      <c r="S2" s="901"/>
      <c r="T2" s="901"/>
      <c r="U2" s="901"/>
      <c r="V2" s="901"/>
      <c r="W2" s="901"/>
      <c r="X2" s="901"/>
    </row>
    <row r="3" spans="1:25" ht="17.399999999999999" x14ac:dyDescent="0.3">
      <c r="A3" s="901"/>
      <c r="B3" s="901"/>
      <c r="C3" s="901"/>
      <c r="D3" s="901"/>
      <c r="E3" s="901"/>
      <c r="F3" s="901"/>
      <c r="G3" s="901"/>
      <c r="H3" s="901"/>
      <c r="I3" s="901"/>
      <c r="J3" s="901"/>
      <c r="K3" s="901"/>
      <c r="L3" s="901"/>
      <c r="M3" s="901"/>
      <c r="N3" s="901"/>
      <c r="O3" s="901"/>
      <c r="P3" s="901"/>
      <c r="Q3" s="901"/>
      <c r="R3" s="901"/>
      <c r="S3" s="901"/>
      <c r="T3" s="901"/>
      <c r="U3" s="901"/>
      <c r="V3" s="901"/>
      <c r="W3" s="901"/>
      <c r="X3" s="901"/>
    </row>
    <row r="4" spans="1:25" ht="15.6" x14ac:dyDescent="0.3">
      <c r="A4" s="902" t="s">
        <v>22</v>
      </c>
      <c r="B4" s="902"/>
      <c r="C4" s="902"/>
      <c r="D4" s="902"/>
      <c r="E4" s="902"/>
      <c r="F4" s="902"/>
      <c r="G4" s="902"/>
      <c r="H4" s="902"/>
      <c r="I4" s="902"/>
      <c r="J4" s="902"/>
      <c r="K4" s="902"/>
      <c r="L4" s="902"/>
      <c r="M4" s="902"/>
      <c r="N4" s="902"/>
      <c r="O4" s="902"/>
      <c r="P4" s="902"/>
      <c r="Q4" s="902"/>
      <c r="R4" s="902"/>
      <c r="S4" s="902"/>
      <c r="T4" s="902"/>
      <c r="U4" s="902"/>
      <c r="V4" s="902"/>
      <c r="W4" s="902"/>
      <c r="X4" s="902"/>
    </row>
    <row r="5" spans="1:25" ht="15.6" x14ac:dyDescent="0.3">
      <c r="A5" s="1005"/>
      <c r="B5" s="1005"/>
      <c r="C5" s="1005"/>
      <c r="D5" s="1005"/>
      <c r="E5" s="1005"/>
      <c r="F5" s="1005"/>
      <c r="G5" s="1005"/>
      <c r="H5" s="1005"/>
      <c r="I5" s="1005"/>
      <c r="J5" s="1005"/>
      <c r="K5" s="1005"/>
      <c r="L5" s="1005"/>
      <c r="M5" s="1005"/>
      <c r="N5" s="1005"/>
      <c r="O5" s="1005"/>
      <c r="P5" s="1005"/>
      <c r="Q5" s="1005"/>
      <c r="R5" s="1005"/>
      <c r="S5" s="1005"/>
      <c r="T5" s="1005"/>
      <c r="U5" s="1005"/>
      <c r="V5" s="1005"/>
      <c r="W5" s="1005"/>
      <c r="X5" s="1005"/>
    </row>
    <row r="6" spans="1:25" ht="15.75" customHeight="1" x14ac:dyDescent="0.25">
      <c r="A6" s="1004" t="s">
        <v>960</v>
      </c>
      <c r="B6" s="1004"/>
      <c r="C6" s="1004"/>
      <c r="D6" s="1004"/>
      <c r="E6" s="1004"/>
      <c r="F6" s="1004"/>
      <c r="G6" s="1004"/>
      <c r="H6" s="1004"/>
      <c r="I6" s="1004"/>
      <c r="J6" s="1004"/>
      <c r="K6" s="1004"/>
      <c r="L6" s="1004"/>
      <c r="M6" s="1004"/>
      <c r="N6" s="1004"/>
      <c r="O6" s="1004"/>
      <c r="P6" s="1004"/>
      <c r="Q6" s="1004"/>
      <c r="R6" s="1004"/>
      <c r="S6" s="1004"/>
      <c r="T6" s="1004"/>
      <c r="U6" s="1004"/>
      <c r="V6" s="1004"/>
      <c r="W6" s="1004"/>
      <c r="X6" s="1004"/>
    </row>
    <row r="7" spans="1:25" ht="15.75" customHeight="1" x14ac:dyDescent="0.25">
      <c r="A7" s="1004" t="s">
        <v>961</v>
      </c>
      <c r="B7" s="1004"/>
      <c r="C7" s="1004"/>
      <c r="D7" s="1004"/>
      <c r="E7" s="1004"/>
      <c r="F7" s="1004"/>
      <c r="G7" s="1004"/>
      <c r="H7" s="1004"/>
      <c r="I7" s="1004"/>
      <c r="J7" s="1004"/>
      <c r="K7" s="1004"/>
      <c r="L7" s="1004"/>
      <c r="M7" s="1004"/>
      <c r="N7" s="1004"/>
      <c r="O7" s="1004"/>
      <c r="P7" s="1004"/>
      <c r="Q7" s="1004"/>
      <c r="R7" s="1004"/>
      <c r="S7" s="1004"/>
      <c r="T7" s="1004"/>
      <c r="U7" s="1004"/>
      <c r="V7" s="1004"/>
      <c r="W7" s="1004"/>
      <c r="X7" s="1004"/>
    </row>
    <row r="8" spans="1:25" ht="15.6" x14ac:dyDescent="0.3">
      <c r="A8" s="841"/>
      <c r="B8" s="855"/>
      <c r="C8" s="855"/>
      <c r="D8" s="856"/>
      <c r="E8" s="1002"/>
      <c r="F8" s="1002"/>
      <c r="G8" s="1002"/>
      <c r="H8" s="1002"/>
      <c r="I8" s="1002"/>
      <c r="J8" s="857"/>
      <c r="K8" s="857"/>
      <c r="L8" s="857"/>
      <c r="M8" s="857"/>
      <c r="N8" s="857"/>
      <c r="O8" s="857"/>
      <c r="P8" s="857"/>
      <c r="Q8" s="857"/>
      <c r="R8" s="857"/>
      <c r="S8" s="857"/>
      <c r="T8" s="857"/>
      <c r="U8" s="858"/>
      <c r="V8" s="858"/>
      <c r="W8" s="858"/>
      <c r="X8" s="859"/>
    </row>
    <row r="9" spans="1:25" s="821" customFormat="1" ht="13.5" customHeight="1" x14ac:dyDescent="0.25">
      <c r="A9" s="695" t="s">
        <v>1278</v>
      </c>
      <c r="B9" s="695"/>
      <c r="C9" s="980" t="s">
        <v>951</v>
      </c>
      <c r="D9" s="980"/>
      <c r="E9" s="980"/>
      <c r="F9" s="980"/>
      <c r="G9" s="695"/>
      <c r="H9" s="695"/>
      <c r="I9" s="980" t="s">
        <v>952</v>
      </c>
      <c r="J9" s="980"/>
      <c r="K9" s="1003" t="s">
        <v>953</v>
      </c>
      <c r="L9" s="1003"/>
      <c r="M9" s="1003"/>
      <c r="N9" s="1003"/>
      <c r="O9" s="1003"/>
      <c r="P9" s="1003" t="s">
        <v>377</v>
      </c>
      <c r="Q9" s="1003"/>
      <c r="R9" s="982" t="s">
        <v>970</v>
      </c>
      <c r="S9" s="1003" t="s">
        <v>954</v>
      </c>
      <c r="T9" s="1003"/>
      <c r="U9" s="1003"/>
      <c r="V9" s="1003"/>
      <c r="W9" s="982" t="s">
        <v>975</v>
      </c>
      <c r="X9" s="982" t="s">
        <v>10</v>
      </c>
      <c r="Y9" s="835"/>
    </row>
    <row r="10" spans="1:25" ht="12.75" customHeight="1" x14ac:dyDescent="0.25">
      <c r="A10" s="984" t="s">
        <v>1104</v>
      </c>
      <c r="B10" s="985" t="s">
        <v>9</v>
      </c>
      <c r="C10" s="982" t="s">
        <v>962</v>
      </c>
      <c r="D10" s="986" t="s">
        <v>955</v>
      </c>
      <c r="E10" s="982" t="s">
        <v>963</v>
      </c>
      <c r="F10" s="982" t="s">
        <v>964</v>
      </c>
      <c r="G10" s="982"/>
      <c r="H10" s="982" t="s">
        <v>12</v>
      </c>
      <c r="I10" s="987" t="s">
        <v>965</v>
      </c>
      <c r="J10" s="987" t="s">
        <v>956</v>
      </c>
      <c r="K10" s="982" t="s">
        <v>962</v>
      </c>
      <c r="L10" s="982" t="s">
        <v>966</v>
      </c>
      <c r="M10" s="982" t="s">
        <v>957</v>
      </c>
      <c r="N10" s="982" t="s">
        <v>967</v>
      </c>
      <c r="O10" s="982" t="s">
        <v>968</v>
      </c>
      <c r="P10" s="982" t="s">
        <v>958</v>
      </c>
      <c r="Q10" s="982" t="s">
        <v>969</v>
      </c>
      <c r="R10" s="982"/>
      <c r="S10" s="982" t="s">
        <v>971</v>
      </c>
      <c r="T10" s="982" t="s">
        <v>972</v>
      </c>
      <c r="U10" s="984" t="s">
        <v>1247</v>
      </c>
      <c r="V10" s="984" t="s">
        <v>1248</v>
      </c>
      <c r="W10" s="982"/>
      <c r="X10" s="982"/>
    </row>
    <row r="11" spans="1:25" x14ac:dyDescent="0.25">
      <c r="A11" s="984"/>
      <c r="B11" s="985"/>
      <c r="C11" s="982"/>
      <c r="D11" s="986"/>
      <c r="E11" s="982"/>
      <c r="F11" s="982"/>
      <c r="G11" s="982"/>
      <c r="H11" s="982"/>
      <c r="I11" s="987"/>
      <c r="J11" s="987"/>
      <c r="K11" s="982"/>
      <c r="L11" s="982"/>
      <c r="M11" s="982"/>
      <c r="N11" s="982"/>
      <c r="O11" s="982"/>
      <c r="P11" s="982"/>
      <c r="Q11" s="982"/>
      <c r="R11" s="982"/>
      <c r="S11" s="982"/>
      <c r="T11" s="982"/>
      <c r="U11" s="984"/>
      <c r="V11" s="984"/>
      <c r="W11" s="982"/>
      <c r="X11" s="982"/>
    </row>
    <row r="12" spans="1:25" ht="24.75" customHeight="1" x14ac:dyDescent="0.25">
      <c r="A12" s="984"/>
      <c r="B12" s="985"/>
      <c r="C12" s="982"/>
      <c r="D12" s="986"/>
      <c r="E12" s="982"/>
      <c r="F12" s="982"/>
      <c r="G12" s="982"/>
      <c r="H12" s="982"/>
      <c r="I12" s="987"/>
      <c r="J12" s="987"/>
      <c r="K12" s="982"/>
      <c r="L12" s="982"/>
      <c r="M12" s="982"/>
      <c r="N12" s="982"/>
      <c r="O12" s="982"/>
      <c r="P12" s="982"/>
      <c r="Q12" s="982"/>
      <c r="R12" s="982"/>
      <c r="S12" s="982"/>
      <c r="T12" s="982"/>
      <c r="U12" s="984"/>
      <c r="V12" s="984"/>
      <c r="W12" s="982"/>
      <c r="X12" s="982"/>
    </row>
    <row r="13" spans="1:25" ht="22.8" x14ac:dyDescent="0.4">
      <c r="A13" s="822"/>
      <c r="B13" s="1000"/>
      <c r="C13" s="1000"/>
      <c r="D13" s="1000"/>
      <c r="E13" s="1000"/>
      <c r="F13" s="1000"/>
      <c r="G13" s="1000"/>
      <c r="H13" s="1000"/>
      <c r="I13" s="1000"/>
      <c r="J13" s="1000"/>
      <c r="K13" s="1001"/>
      <c r="L13" s="809"/>
      <c r="M13" s="809"/>
      <c r="N13" s="809"/>
      <c r="O13" s="809"/>
      <c r="P13" s="809"/>
      <c r="Q13" s="809"/>
      <c r="R13" s="809"/>
      <c r="S13" s="809"/>
      <c r="T13" s="809"/>
      <c r="U13" s="810"/>
      <c r="V13" s="811"/>
      <c r="W13" s="811"/>
      <c r="X13" s="822"/>
      <c r="Y13" s="3"/>
    </row>
    <row r="14" spans="1:25" s="721" customFormat="1" ht="22.8" x14ac:dyDescent="0.4">
      <c r="A14" s="823"/>
      <c r="B14" s="998" t="s">
        <v>1030</v>
      </c>
      <c r="C14" s="998"/>
      <c r="D14" s="998"/>
      <c r="E14" s="998"/>
      <c r="F14" s="998"/>
      <c r="G14" s="998"/>
      <c r="H14" s="998"/>
      <c r="I14" s="998"/>
      <c r="J14" s="998"/>
      <c r="K14" s="998"/>
      <c r="L14" s="742"/>
      <c r="M14" s="742"/>
      <c r="N14" s="742"/>
      <c r="O14" s="742"/>
      <c r="P14" s="742"/>
      <c r="Q14" s="742"/>
      <c r="R14" s="742"/>
      <c r="S14" s="742"/>
      <c r="T14" s="742"/>
      <c r="U14" s="812"/>
      <c r="V14" s="758"/>
      <c r="W14" s="758"/>
      <c r="X14" s="823"/>
    </row>
    <row r="15" spans="1:25" ht="99" customHeight="1" x14ac:dyDescent="0.25">
      <c r="A15" s="798" t="s">
        <v>45</v>
      </c>
      <c r="B15" s="787" t="s">
        <v>42</v>
      </c>
      <c r="C15" s="799" t="s">
        <v>19</v>
      </c>
      <c r="D15" s="799" t="s">
        <v>19</v>
      </c>
      <c r="E15" s="799" t="s">
        <v>19</v>
      </c>
      <c r="F15" s="799" t="s">
        <v>19</v>
      </c>
      <c r="G15" s="709"/>
      <c r="H15" s="709"/>
      <c r="I15" s="700" t="s">
        <v>1031</v>
      </c>
      <c r="J15" s="397" t="s">
        <v>1032</v>
      </c>
      <c r="K15" s="799" t="s">
        <v>41</v>
      </c>
      <c r="L15" s="791">
        <v>40641</v>
      </c>
      <c r="M15" s="435" t="s">
        <v>1033</v>
      </c>
      <c r="N15" s="800">
        <v>955272.36</v>
      </c>
      <c r="O15" s="799" t="s">
        <v>223</v>
      </c>
      <c r="P15" s="397" t="s">
        <v>1117</v>
      </c>
      <c r="Q15" s="722" t="s">
        <v>977</v>
      </c>
      <c r="R15" s="722" t="s">
        <v>977</v>
      </c>
      <c r="S15" s="397" t="s">
        <v>995</v>
      </c>
      <c r="T15" s="800">
        <f>227281.93+80906.37+23382.66+61206.89+56875.97+1099638.87</f>
        <v>1549292.69</v>
      </c>
      <c r="U15" s="800">
        <f>0</f>
        <v>0</v>
      </c>
      <c r="V15" s="800">
        <f>91653.82+109000</f>
        <v>200653.82</v>
      </c>
      <c r="W15" s="800">
        <f>100000+100000+49000+V15</f>
        <v>449653.82</v>
      </c>
      <c r="X15" s="801" t="s">
        <v>4</v>
      </c>
      <c r="Y15" s="3"/>
    </row>
    <row r="16" spans="1:25" ht="20.399999999999999" x14ac:dyDescent="0.25">
      <c r="A16" s="798" t="s">
        <v>138</v>
      </c>
      <c r="B16" s="787" t="s">
        <v>120</v>
      </c>
      <c r="C16" s="799" t="s">
        <v>1054</v>
      </c>
      <c r="D16" s="799" t="s">
        <v>143</v>
      </c>
      <c r="E16" s="789">
        <v>2000000</v>
      </c>
      <c r="F16" s="829" t="s">
        <v>644</v>
      </c>
      <c r="G16" s="709"/>
      <c r="H16" s="709"/>
      <c r="I16" s="700" t="s">
        <v>1031</v>
      </c>
      <c r="J16" s="397" t="s">
        <v>1032</v>
      </c>
      <c r="K16" s="799" t="s">
        <v>204</v>
      </c>
      <c r="L16" s="791">
        <v>41477</v>
      </c>
      <c r="M16" s="435" t="s">
        <v>1034</v>
      </c>
      <c r="N16" s="800">
        <v>1991023.52</v>
      </c>
      <c r="O16" s="799" t="s">
        <v>223</v>
      </c>
      <c r="P16" s="397" t="s">
        <v>1118</v>
      </c>
      <c r="Q16" s="722" t="s">
        <v>977</v>
      </c>
      <c r="R16" s="722" t="s">
        <v>977</v>
      </c>
      <c r="S16" s="397" t="s">
        <v>995</v>
      </c>
      <c r="T16" s="800">
        <f>35015.19+57014.08+42469.58+17086.18+33745.21</f>
        <v>185330.24</v>
      </c>
      <c r="U16" s="800">
        <v>0</v>
      </c>
      <c r="V16" s="800">
        <f>17086.18+33745.21</f>
        <v>50831.39</v>
      </c>
      <c r="W16" s="800">
        <f>17086.18+33745.21+57014.08+42469.58</f>
        <v>150315.04999999999</v>
      </c>
      <c r="X16" s="801" t="s">
        <v>1277</v>
      </c>
      <c r="Y16" s="3"/>
    </row>
    <row r="17" spans="1:25" s="721" customFormat="1" ht="22.8" x14ac:dyDescent="0.4">
      <c r="A17" s="823"/>
      <c r="B17" s="998" t="s">
        <v>1035</v>
      </c>
      <c r="C17" s="998"/>
      <c r="D17" s="998"/>
      <c r="E17" s="998"/>
      <c r="F17" s="998"/>
      <c r="G17" s="998"/>
      <c r="H17" s="998"/>
      <c r="I17" s="998"/>
      <c r="J17" s="998"/>
      <c r="K17" s="998"/>
      <c r="L17" s="742"/>
      <c r="M17" s="742"/>
      <c r="N17" s="742"/>
      <c r="O17" s="742"/>
      <c r="P17" s="742"/>
      <c r="Q17" s="742"/>
      <c r="R17" s="742"/>
      <c r="S17" s="742"/>
      <c r="T17" s="742"/>
      <c r="U17" s="812"/>
      <c r="V17" s="758"/>
      <c r="W17" s="758"/>
      <c r="X17" s="823"/>
    </row>
    <row r="18" spans="1:25" ht="39" x14ac:dyDescent="0.25">
      <c r="A18" s="798" t="s">
        <v>260</v>
      </c>
      <c r="B18" s="814" t="s">
        <v>165</v>
      </c>
      <c r="C18" s="798" t="s">
        <v>1086</v>
      </c>
      <c r="D18" s="799" t="s">
        <v>107</v>
      </c>
      <c r="E18" s="789">
        <v>3163400</v>
      </c>
      <c r="F18" s="789">
        <v>131808.32999999999</v>
      </c>
      <c r="G18" s="709"/>
      <c r="H18" s="709"/>
      <c r="I18" s="700" t="s">
        <v>1036</v>
      </c>
      <c r="J18" s="397" t="s">
        <v>1037</v>
      </c>
      <c r="K18" s="799" t="s">
        <v>278</v>
      </c>
      <c r="L18" s="791">
        <v>41164</v>
      </c>
      <c r="M18" s="397" t="s">
        <v>1110</v>
      </c>
      <c r="N18" s="800">
        <v>3224157.7</v>
      </c>
      <c r="O18" s="815">
        <v>41576</v>
      </c>
      <c r="P18" s="397" t="s">
        <v>1119</v>
      </c>
      <c r="Q18" s="722">
        <v>133644.56</v>
      </c>
      <c r="R18" s="722" t="s">
        <v>977</v>
      </c>
      <c r="S18" s="397" t="s">
        <v>995</v>
      </c>
      <c r="T18" s="800">
        <f>721758.03+133644.56+665499.85+289378.95+467988.17+82480.29+85567.2+177848.36</f>
        <v>2624165.41</v>
      </c>
      <c r="U18" s="800">
        <v>0</v>
      </c>
      <c r="V18" s="800">
        <v>0</v>
      </c>
      <c r="W18" s="800">
        <f>665499.85+721758.03+277803.79+11575.16+18719.53+449268.64+79181.08</f>
        <v>2223806.08</v>
      </c>
      <c r="X18" s="801" t="s">
        <v>1038</v>
      </c>
      <c r="Y18" s="3"/>
    </row>
    <row r="19" spans="1:25" ht="30.6" x14ac:dyDescent="0.25">
      <c r="A19" s="798" t="s">
        <v>299</v>
      </c>
      <c r="B19" s="787" t="s">
        <v>181</v>
      </c>
      <c r="C19" s="830" t="s">
        <v>1041</v>
      </c>
      <c r="D19" s="799" t="s">
        <v>199</v>
      </c>
      <c r="E19" s="789">
        <v>2710000</v>
      </c>
      <c r="F19" s="789">
        <v>296310</v>
      </c>
      <c r="G19" s="709"/>
      <c r="H19" s="709"/>
      <c r="I19" s="700" t="s">
        <v>1039</v>
      </c>
      <c r="J19" s="397" t="s">
        <v>1040</v>
      </c>
      <c r="K19" s="799" t="s">
        <v>308</v>
      </c>
      <c r="L19" s="791">
        <v>41309</v>
      </c>
      <c r="M19" s="435" t="s">
        <v>1034</v>
      </c>
      <c r="N19" s="800">
        <v>2635231.1</v>
      </c>
      <c r="O19" s="434" t="s">
        <v>4</v>
      </c>
      <c r="P19" s="397" t="s">
        <v>1268</v>
      </c>
      <c r="Q19" s="397" t="s">
        <v>1274</v>
      </c>
      <c r="R19" s="722" t="s">
        <v>977</v>
      </c>
      <c r="S19" s="397" t="s">
        <v>995</v>
      </c>
      <c r="T19" s="800">
        <f>89274+72132.63+79987.93+113090.04+425803.43+148808.79+72729.91+47259.06+79905.69+107488.87+107017.46+103765+110971.63+125892.05+98728.78+89320.88+94591.41+161553.31+84762.81</f>
        <v>2213083.6799999997</v>
      </c>
      <c r="U19" s="800">
        <f>76107.9+8654.91</f>
        <v>84762.81</v>
      </c>
      <c r="V19" s="800">
        <f>13517.16+97454.47+113483.79+12408.26+88997.81+9730.97+8803.71+80517.17+85268.23+9323.18+15923.14+145630.17</f>
        <v>681058.05999999994</v>
      </c>
      <c r="W19" s="800">
        <f>89274+72132.63+79987.93+113090.04+425803.43+148808.79+72729.91+47259.06+79905.69+107488.87+107017.46+103765+110971.63+125892.05+98728.78+89320.88+94591.41+161553.31+84762.81</f>
        <v>2213083.6799999997</v>
      </c>
      <c r="X19" s="801" t="s">
        <v>4</v>
      </c>
      <c r="Y19" s="3"/>
    </row>
    <row r="20" spans="1:25" s="721" customFormat="1" ht="22.8" x14ac:dyDescent="0.4">
      <c r="A20" s="823"/>
      <c r="B20" s="998" t="s">
        <v>1042</v>
      </c>
      <c r="C20" s="998"/>
      <c r="D20" s="998"/>
      <c r="E20" s="998"/>
      <c r="F20" s="998"/>
      <c r="G20" s="998"/>
      <c r="H20" s="998"/>
      <c r="I20" s="998"/>
      <c r="J20" s="998"/>
      <c r="K20" s="998"/>
      <c r="L20" s="742"/>
      <c r="M20" s="742"/>
      <c r="N20" s="742"/>
      <c r="O20" s="742"/>
      <c r="P20" s="742"/>
      <c r="Q20" s="742"/>
      <c r="R20" s="742"/>
      <c r="S20" s="742"/>
      <c r="T20" s="742"/>
      <c r="U20" s="813"/>
      <c r="V20" s="758"/>
      <c r="W20" s="758"/>
      <c r="X20" s="823"/>
    </row>
    <row r="21" spans="1:25" ht="30.6" x14ac:dyDescent="0.25">
      <c r="A21" s="798" t="s">
        <v>311</v>
      </c>
      <c r="B21" s="814" t="s">
        <v>312</v>
      </c>
      <c r="C21" s="801" t="s">
        <v>1043</v>
      </c>
      <c r="D21" s="799" t="s">
        <v>1044</v>
      </c>
      <c r="E21" s="789">
        <v>1500000</v>
      </c>
      <c r="F21" s="789">
        <v>147167.51999999999</v>
      </c>
      <c r="G21" s="709"/>
      <c r="H21" s="709"/>
      <c r="I21" s="700" t="s">
        <v>1039</v>
      </c>
      <c r="J21" s="397" t="s">
        <v>1040</v>
      </c>
      <c r="K21" s="799" t="s">
        <v>309</v>
      </c>
      <c r="L21" s="791">
        <v>41409</v>
      </c>
      <c r="M21" s="435" t="s">
        <v>1002</v>
      </c>
      <c r="N21" s="800">
        <v>1647667.52</v>
      </c>
      <c r="O21" s="397" t="s">
        <v>1046</v>
      </c>
      <c r="P21" s="397" t="s">
        <v>1045</v>
      </c>
      <c r="Q21" s="722">
        <v>-2750.31</v>
      </c>
      <c r="R21" s="722" t="s">
        <v>977</v>
      </c>
      <c r="S21" s="397" t="s">
        <v>995</v>
      </c>
      <c r="T21" s="800">
        <f>319285.56+124849.07+69118.92</f>
        <v>513253.55</v>
      </c>
      <c r="U21" s="800">
        <v>0</v>
      </c>
      <c r="V21" s="800">
        <v>0</v>
      </c>
      <c r="W21" s="800">
        <f>29025.96+290569.6+113499.16+11349.91</f>
        <v>444444.62999999995</v>
      </c>
      <c r="X21" s="798" t="s">
        <v>1046</v>
      </c>
      <c r="Y21" s="3"/>
    </row>
    <row r="22" spans="1:25" ht="30.6" x14ac:dyDescent="0.25">
      <c r="A22" s="798" t="s">
        <v>314</v>
      </c>
      <c r="B22" s="787" t="s">
        <v>373</v>
      </c>
      <c r="C22" s="801" t="s">
        <v>1048</v>
      </c>
      <c r="D22" s="799" t="s">
        <v>1047</v>
      </c>
      <c r="E22" s="789">
        <v>1422593.66</v>
      </c>
      <c r="F22" s="789">
        <v>256438.78</v>
      </c>
      <c r="G22" s="709"/>
      <c r="H22" s="709"/>
      <c r="I22" s="700" t="s">
        <v>1000</v>
      </c>
      <c r="J22" s="397" t="s">
        <v>554</v>
      </c>
      <c r="K22" s="799" t="s">
        <v>315</v>
      </c>
      <c r="L22" s="791">
        <v>41484</v>
      </c>
      <c r="M22" s="435" t="s">
        <v>1002</v>
      </c>
      <c r="N22" s="800">
        <v>1652066.62</v>
      </c>
      <c r="O22" s="799" t="s">
        <v>4</v>
      </c>
      <c r="P22" s="397" t="s">
        <v>1045</v>
      </c>
      <c r="Q22" s="722" t="s">
        <v>977</v>
      </c>
      <c r="R22" s="722" t="s">
        <v>977</v>
      </c>
      <c r="S22" s="397" t="s">
        <v>995</v>
      </c>
      <c r="T22" s="800">
        <f>119719.93+104703.75+257683.2+115743.43+230765.69+100331.58+36084.48+41282.05+50038.8+50039.03+53747.36+38233.13+54573.94</f>
        <v>1252946.3699999999</v>
      </c>
      <c r="U22" s="800">
        <f>53747.36+38233.13</f>
        <v>91980.489999999991</v>
      </c>
      <c r="V22" s="800">
        <f>50038.8+50039.03+41282.05</f>
        <v>141359.88</v>
      </c>
      <c r="W22" s="800">
        <f>257683.2+115743.43+230765.69+41282.05+50038.8+50039.03+104703.75+119719.93+36084.48+100331.58+U22</f>
        <v>1198372.4300000002</v>
      </c>
      <c r="X22" s="799" t="s">
        <v>4</v>
      </c>
      <c r="Y22" s="3"/>
    </row>
    <row r="23" spans="1:25" ht="81.599999999999994" x14ac:dyDescent="0.25">
      <c r="A23" s="798" t="s">
        <v>367</v>
      </c>
      <c r="B23" s="787" t="s">
        <v>353</v>
      </c>
      <c r="C23" s="799" t="s">
        <v>225</v>
      </c>
      <c r="D23" s="799" t="s">
        <v>225</v>
      </c>
      <c r="E23" s="799" t="s">
        <v>225</v>
      </c>
      <c r="F23" s="799" t="s">
        <v>225</v>
      </c>
      <c r="G23" s="709"/>
      <c r="H23" s="709"/>
      <c r="I23" s="700" t="s">
        <v>1049</v>
      </c>
      <c r="J23" s="397" t="s">
        <v>1050</v>
      </c>
      <c r="K23" s="799" t="s">
        <v>357</v>
      </c>
      <c r="L23" s="791">
        <v>41603</v>
      </c>
      <c r="M23" s="435" t="s">
        <v>976</v>
      </c>
      <c r="N23" s="800">
        <v>453625.21</v>
      </c>
      <c r="O23" s="796" t="s">
        <v>221</v>
      </c>
      <c r="P23" s="396" t="s">
        <v>1120</v>
      </c>
      <c r="Q23" s="435">
        <v>120337.43</v>
      </c>
      <c r="R23" s="722" t="s">
        <v>977</v>
      </c>
      <c r="S23" s="397" t="s">
        <v>995</v>
      </c>
      <c r="T23" s="800">
        <f>129214.62+52708.1+52708.1+112601.28+112999.2</f>
        <v>460231.3</v>
      </c>
      <c r="U23" s="800">
        <v>0</v>
      </c>
      <c r="V23" s="800">
        <v>0</v>
      </c>
      <c r="W23" s="800">
        <f>129214.62+52708.1+52708.1+112601.28+112999.2</f>
        <v>460231.3</v>
      </c>
      <c r="X23" s="796" t="s">
        <v>221</v>
      </c>
      <c r="Y23" s="3"/>
    </row>
    <row r="24" spans="1:25" s="129" customFormat="1" ht="40.799999999999997" x14ac:dyDescent="0.25">
      <c r="A24" s="689" t="s">
        <v>368</v>
      </c>
      <c r="B24" s="696" t="s">
        <v>354</v>
      </c>
      <c r="C24" s="802" t="s">
        <v>225</v>
      </c>
      <c r="D24" s="802" t="s">
        <v>225</v>
      </c>
      <c r="E24" s="802" t="s">
        <v>225</v>
      </c>
      <c r="F24" s="802" t="s">
        <v>225</v>
      </c>
      <c r="G24" s="698"/>
      <c r="H24" s="698"/>
      <c r="I24" s="699" t="s">
        <v>1049</v>
      </c>
      <c r="J24" s="189" t="s">
        <v>1050</v>
      </c>
      <c r="K24" s="802" t="s">
        <v>358</v>
      </c>
      <c r="L24" s="187">
        <v>41607</v>
      </c>
      <c r="M24" s="305" t="s">
        <v>1002</v>
      </c>
      <c r="N24" s="688">
        <v>665653.39</v>
      </c>
      <c r="O24" s="806" t="s">
        <v>221</v>
      </c>
      <c r="P24" s="397" t="s">
        <v>1121</v>
      </c>
      <c r="Q24" s="722" t="s">
        <v>977</v>
      </c>
      <c r="R24" s="722" t="s">
        <v>977</v>
      </c>
      <c r="S24" s="397" t="s">
        <v>995</v>
      </c>
      <c r="T24" s="800">
        <f>35686.81+30527.68+16041.8+37727.51+30163.69+107778.37+88545.99+34102.83+29529.55+37779.72+45957.19</f>
        <v>493841.13999999996</v>
      </c>
      <c r="U24" s="800">
        <v>0</v>
      </c>
      <c r="V24" s="800">
        <f>31000+29529.55+37779.72+45957.19</f>
        <v>144266.46000000002</v>
      </c>
      <c r="W24" s="800">
        <f>31000+29529.55+37779.72+45957.19+16041.8+37727.51+20000+10163.69+97000+10778.37+88545.99+30527.68+35686.81</f>
        <v>490738.31</v>
      </c>
      <c r="X24" s="806" t="s">
        <v>221</v>
      </c>
    </row>
    <row r="25" spans="1:25" ht="22.8" x14ac:dyDescent="0.4">
      <c r="A25" s="822"/>
      <c r="B25" s="808"/>
      <c r="C25" s="831"/>
      <c r="D25" s="831"/>
      <c r="E25" s="831"/>
      <c r="F25" s="831"/>
      <c r="G25" s="808"/>
      <c r="H25" s="808"/>
      <c r="I25" s="808"/>
      <c r="J25" s="808"/>
      <c r="K25" s="809"/>
      <c r="L25" s="809"/>
      <c r="M25" s="809"/>
      <c r="N25" s="809"/>
      <c r="O25" s="809"/>
      <c r="P25" s="809"/>
      <c r="Q25" s="809"/>
      <c r="R25" s="809"/>
      <c r="S25" s="809"/>
      <c r="T25" s="809"/>
      <c r="U25" s="810"/>
      <c r="V25" s="811"/>
      <c r="W25" s="811"/>
      <c r="X25" s="822"/>
      <c r="Y25" s="3"/>
    </row>
    <row r="26" spans="1:25" s="721" customFormat="1" ht="22.8" x14ac:dyDescent="0.4">
      <c r="A26" s="823"/>
      <c r="B26" s="998" t="s">
        <v>1051</v>
      </c>
      <c r="C26" s="998"/>
      <c r="D26" s="998"/>
      <c r="E26" s="998"/>
      <c r="F26" s="998"/>
      <c r="G26" s="998"/>
      <c r="H26" s="998"/>
      <c r="I26" s="998"/>
      <c r="J26" s="998"/>
      <c r="K26" s="998"/>
      <c r="L26" s="742"/>
      <c r="M26" s="742"/>
      <c r="N26" s="742"/>
      <c r="O26" s="742"/>
      <c r="P26" s="742"/>
      <c r="Q26" s="742"/>
      <c r="R26" s="742"/>
      <c r="S26" s="742"/>
      <c r="T26" s="742"/>
      <c r="U26" s="812"/>
      <c r="V26" s="758"/>
      <c r="W26" s="758"/>
      <c r="X26" s="823"/>
    </row>
    <row r="27" spans="1:25" s="129" customFormat="1" ht="51" x14ac:dyDescent="0.25">
      <c r="A27" s="689" t="s">
        <v>385</v>
      </c>
      <c r="B27" s="696" t="s">
        <v>381</v>
      </c>
      <c r="C27" s="802" t="s">
        <v>225</v>
      </c>
      <c r="D27" s="802" t="s">
        <v>225</v>
      </c>
      <c r="E27" s="802" t="s">
        <v>225</v>
      </c>
      <c r="F27" s="802" t="s">
        <v>225</v>
      </c>
      <c r="G27" s="698"/>
      <c r="H27" s="698"/>
      <c r="I27" s="699" t="s">
        <v>1031</v>
      </c>
      <c r="J27" s="189" t="s">
        <v>1032</v>
      </c>
      <c r="K27" s="802" t="s">
        <v>383</v>
      </c>
      <c r="L27" s="187">
        <v>41715</v>
      </c>
      <c r="M27" s="305" t="s">
        <v>990</v>
      </c>
      <c r="N27" s="189" t="s">
        <v>404</v>
      </c>
      <c r="O27" s="189" t="s">
        <v>1052</v>
      </c>
      <c r="P27" s="397" t="s">
        <v>1053</v>
      </c>
      <c r="Q27" s="435">
        <v>36321.42</v>
      </c>
      <c r="R27" s="722" t="s">
        <v>977</v>
      </c>
      <c r="S27" s="397">
        <v>44905100</v>
      </c>
      <c r="T27" s="800">
        <v>468167.09</v>
      </c>
      <c r="U27" s="789">
        <v>0</v>
      </c>
      <c r="V27" s="800">
        <v>124557.93</v>
      </c>
      <c r="W27" s="800">
        <f>124557.93+135110.6+121378.11+87120.45</f>
        <v>468167.09</v>
      </c>
      <c r="X27" s="690" t="s">
        <v>4</v>
      </c>
    </row>
    <row r="28" spans="1:25" s="129" customFormat="1" ht="51" customHeight="1" x14ac:dyDescent="0.25">
      <c r="A28" s="689" t="s">
        <v>393</v>
      </c>
      <c r="B28" s="696" t="s">
        <v>584</v>
      </c>
      <c r="C28" s="802" t="s">
        <v>225</v>
      </c>
      <c r="D28" s="802" t="s">
        <v>225</v>
      </c>
      <c r="E28" s="802" t="s">
        <v>225</v>
      </c>
      <c r="F28" s="802" t="s">
        <v>225</v>
      </c>
      <c r="G28" s="698"/>
      <c r="H28" s="698"/>
      <c r="I28" s="699" t="s">
        <v>1055</v>
      </c>
      <c r="J28" s="189" t="s">
        <v>1056</v>
      </c>
      <c r="K28" s="802" t="s">
        <v>392</v>
      </c>
      <c r="L28" s="187">
        <v>41738</v>
      </c>
      <c r="M28" s="305" t="s">
        <v>984</v>
      </c>
      <c r="N28" s="189" t="s">
        <v>576</v>
      </c>
      <c r="O28" s="189" t="s">
        <v>1057</v>
      </c>
      <c r="P28" s="396" t="s">
        <v>1116</v>
      </c>
      <c r="Q28" s="722" t="s">
        <v>977</v>
      </c>
      <c r="R28" s="722" t="s">
        <v>977</v>
      </c>
      <c r="S28" s="397">
        <v>44905100</v>
      </c>
      <c r="T28" s="800">
        <v>119954.4</v>
      </c>
      <c r="U28" s="789">
        <v>0</v>
      </c>
      <c r="V28" s="800">
        <f>U28</f>
        <v>0</v>
      </c>
      <c r="W28" s="800">
        <f>V28</f>
        <v>0</v>
      </c>
      <c r="X28" s="690" t="s">
        <v>221</v>
      </c>
    </row>
    <row r="29" spans="1:25" s="129" customFormat="1" ht="20.399999999999999" x14ac:dyDescent="0.25">
      <c r="A29" s="689" t="s">
        <v>394</v>
      </c>
      <c r="B29" s="696" t="s">
        <v>410</v>
      </c>
      <c r="C29" s="802" t="s">
        <v>225</v>
      </c>
      <c r="D29" s="802" t="s">
        <v>225</v>
      </c>
      <c r="E29" s="802" t="s">
        <v>225</v>
      </c>
      <c r="F29" s="802" t="s">
        <v>225</v>
      </c>
      <c r="G29" s="698"/>
      <c r="H29" s="698"/>
      <c r="I29" s="699" t="s">
        <v>926</v>
      </c>
      <c r="J29" s="189" t="s">
        <v>549</v>
      </c>
      <c r="K29" s="802" t="s">
        <v>386</v>
      </c>
      <c r="L29" s="187">
        <v>41723</v>
      </c>
      <c r="M29" s="305" t="s">
        <v>982</v>
      </c>
      <c r="N29" s="189" t="s">
        <v>405</v>
      </c>
      <c r="O29" s="189" t="s">
        <v>1058</v>
      </c>
      <c r="P29" s="397" t="s">
        <v>1059</v>
      </c>
      <c r="Q29" s="722" t="s">
        <v>977</v>
      </c>
      <c r="R29" s="722" t="s">
        <v>977</v>
      </c>
      <c r="S29" s="397">
        <v>44905100</v>
      </c>
      <c r="T29" s="800">
        <v>113353.93</v>
      </c>
      <c r="U29" s="789">
        <v>0</v>
      </c>
      <c r="V29" s="800">
        <f>13817.15</f>
        <v>13817.15</v>
      </c>
      <c r="W29" s="800">
        <f>13817.15+99536.78</f>
        <v>113353.93</v>
      </c>
      <c r="X29" s="690" t="s">
        <v>4</v>
      </c>
    </row>
    <row r="30" spans="1:25" s="129" customFormat="1" ht="83.25" customHeight="1" x14ac:dyDescent="0.25">
      <c r="A30" s="689" t="s">
        <v>448</v>
      </c>
      <c r="B30" s="696" t="s">
        <v>411</v>
      </c>
      <c r="C30" s="802" t="s">
        <v>225</v>
      </c>
      <c r="D30" s="802" t="s">
        <v>225</v>
      </c>
      <c r="E30" s="802" t="s">
        <v>225</v>
      </c>
      <c r="F30" s="802" t="s">
        <v>225</v>
      </c>
      <c r="G30" s="698"/>
      <c r="H30" s="698"/>
      <c r="I30" s="699" t="s">
        <v>1060</v>
      </c>
      <c r="J30" s="189" t="s">
        <v>1061</v>
      </c>
      <c r="K30" s="189" t="s">
        <v>422</v>
      </c>
      <c r="L30" s="187">
        <v>41757</v>
      </c>
      <c r="M30" s="305" t="s">
        <v>982</v>
      </c>
      <c r="N30" s="189" t="s">
        <v>439</v>
      </c>
      <c r="O30" s="189" t="s">
        <v>1062</v>
      </c>
      <c r="P30" s="397" t="s">
        <v>1059</v>
      </c>
      <c r="Q30" s="435">
        <v>4974.5200000000004</v>
      </c>
      <c r="R30" s="722" t="s">
        <v>977</v>
      </c>
      <c r="S30" s="397">
        <v>44905100</v>
      </c>
      <c r="T30" s="800">
        <f>68945.59+26866.13</f>
        <v>95811.72</v>
      </c>
      <c r="U30" s="789">
        <v>0</v>
      </c>
      <c r="V30" s="800">
        <v>26866.13</v>
      </c>
      <c r="W30" s="800">
        <f>26866.13+68945.69</f>
        <v>95811.82</v>
      </c>
      <c r="X30" s="690" t="s">
        <v>221</v>
      </c>
    </row>
    <row r="31" spans="1:25" s="129" customFormat="1" ht="72.75" customHeight="1" x14ac:dyDescent="0.25">
      <c r="A31" s="689" t="s">
        <v>449</v>
      </c>
      <c r="B31" s="696" t="s">
        <v>412</v>
      </c>
      <c r="C31" s="802" t="s">
        <v>225</v>
      </c>
      <c r="D31" s="802" t="s">
        <v>225</v>
      </c>
      <c r="E31" s="802" t="s">
        <v>225</v>
      </c>
      <c r="F31" s="802" t="s">
        <v>225</v>
      </c>
      <c r="G31" s="698"/>
      <c r="H31" s="698"/>
      <c r="I31" s="699" t="s">
        <v>1063</v>
      </c>
      <c r="J31" s="189" t="s">
        <v>553</v>
      </c>
      <c r="K31" s="189" t="s">
        <v>423</v>
      </c>
      <c r="L31" s="187">
        <v>41759</v>
      </c>
      <c r="M31" s="305" t="s">
        <v>976</v>
      </c>
      <c r="N31" s="189" t="s">
        <v>1064</v>
      </c>
      <c r="O31" s="189" t="s">
        <v>1065</v>
      </c>
      <c r="P31" s="397" t="s">
        <v>1122</v>
      </c>
      <c r="Q31" s="722" t="s">
        <v>977</v>
      </c>
      <c r="R31" s="722" t="s">
        <v>977</v>
      </c>
      <c r="S31" s="397">
        <v>44905100</v>
      </c>
      <c r="T31" s="800">
        <f>91197.65+40402.79</f>
        <v>131600.44</v>
      </c>
      <c r="U31" s="789">
        <v>0</v>
      </c>
      <c r="V31" s="800">
        <v>0</v>
      </c>
      <c r="W31" s="800">
        <f>91197.65</f>
        <v>91197.65</v>
      </c>
      <c r="X31" s="690" t="s">
        <v>221</v>
      </c>
    </row>
    <row r="32" spans="1:25" s="129" customFormat="1" ht="40.799999999999997" x14ac:dyDescent="0.25">
      <c r="A32" s="689" t="s">
        <v>451</v>
      </c>
      <c r="B32" s="696" t="s">
        <v>414</v>
      </c>
      <c r="C32" s="802" t="s">
        <v>225</v>
      </c>
      <c r="D32" s="802" t="s">
        <v>225</v>
      </c>
      <c r="E32" s="802" t="s">
        <v>225</v>
      </c>
      <c r="F32" s="802" t="s">
        <v>225</v>
      </c>
      <c r="G32" s="698"/>
      <c r="H32" s="698"/>
      <c r="I32" s="699" t="s">
        <v>1031</v>
      </c>
      <c r="J32" s="189" t="s">
        <v>1032</v>
      </c>
      <c r="K32" s="189" t="s">
        <v>425</v>
      </c>
      <c r="L32" s="187">
        <v>41787</v>
      </c>
      <c r="M32" s="305" t="s">
        <v>980</v>
      </c>
      <c r="N32" s="189" t="s">
        <v>442</v>
      </c>
      <c r="O32" s="189" t="s">
        <v>641</v>
      </c>
      <c r="P32" s="397" t="s">
        <v>1111</v>
      </c>
      <c r="Q32" s="722">
        <f>3194.77+36321.42</f>
        <v>39516.189999999995</v>
      </c>
      <c r="R32" s="722" t="s">
        <v>977</v>
      </c>
      <c r="S32" s="397">
        <v>44905100</v>
      </c>
      <c r="T32" s="800">
        <f>168613.79+3194.77+118301.19+36321.42+114537.72+129091.42+216760.76</f>
        <v>786821.07000000007</v>
      </c>
      <c r="U32" s="800">
        <v>40000</v>
      </c>
      <c r="V32" s="800">
        <f>60000+63000+100000+53301.19+14537.72+36321.42</f>
        <v>327160.32999999996</v>
      </c>
      <c r="W32" s="800">
        <f>60000+63000+100000+53301.19+14537.72+36321.42+168613.79+U32</f>
        <v>535774.12</v>
      </c>
      <c r="X32" s="690" t="s">
        <v>223</v>
      </c>
    </row>
    <row r="33" spans="1:26" s="129" customFormat="1" ht="51" x14ac:dyDescent="0.25">
      <c r="A33" s="689" t="s">
        <v>450</v>
      </c>
      <c r="B33" s="696" t="s">
        <v>413</v>
      </c>
      <c r="C33" s="802" t="s">
        <v>1096</v>
      </c>
      <c r="D33" s="802" t="s">
        <v>1083</v>
      </c>
      <c r="E33" s="837">
        <v>4516115.75</v>
      </c>
      <c r="F33" s="837">
        <v>421018.57</v>
      </c>
      <c r="G33" s="698"/>
      <c r="H33" s="698"/>
      <c r="I33" s="699" t="s">
        <v>1000</v>
      </c>
      <c r="J33" s="189" t="s">
        <v>554</v>
      </c>
      <c r="K33" s="189" t="s">
        <v>424</v>
      </c>
      <c r="L33" s="187">
        <v>41787</v>
      </c>
      <c r="M33" s="305" t="s">
        <v>976</v>
      </c>
      <c r="N33" s="189" t="s">
        <v>441</v>
      </c>
      <c r="O33" s="691" t="s">
        <v>223</v>
      </c>
      <c r="P33" s="397" t="s">
        <v>1123</v>
      </c>
      <c r="Q33" s="722" t="s">
        <v>977</v>
      </c>
      <c r="R33" s="722" t="s">
        <v>977</v>
      </c>
      <c r="S33" s="397">
        <v>44905100</v>
      </c>
      <c r="T33" s="800">
        <f>33349.64+184000+187978.25+100331.58+30504.92+2844.72+309743.59+28885.02+241637.05+25648.53</f>
        <v>1144923.3</v>
      </c>
      <c r="U33" s="789">
        <v>0</v>
      </c>
      <c r="V33" s="800">
        <f>2844.72+30504.92+309743.59+28885.02+25648.53+241637.05</f>
        <v>639263.83000000007</v>
      </c>
      <c r="W33" s="800">
        <f>33349.64+184000+187978.25+100331.58+30504.92+2844.72+309743.59+28885.02+241637.05+25648.53</f>
        <v>1144923.3</v>
      </c>
      <c r="X33" s="690" t="s">
        <v>223</v>
      </c>
    </row>
    <row r="34" spans="1:26" ht="44.25" customHeight="1" x14ac:dyDescent="0.25">
      <c r="A34" s="798" t="s">
        <v>458</v>
      </c>
      <c r="B34" s="814" t="s">
        <v>420</v>
      </c>
      <c r="C34" s="799" t="s">
        <v>1066</v>
      </c>
      <c r="D34" s="799" t="s">
        <v>1047</v>
      </c>
      <c r="E34" s="836">
        <v>1990587.74</v>
      </c>
      <c r="F34" s="799"/>
      <c r="G34" s="709"/>
      <c r="H34" s="709"/>
      <c r="I34" s="700" t="s">
        <v>1018</v>
      </c>
      <c r="J34" s="397" t="s">
        <v>1071</v>
      </c>
      <c r="K34" s="397" t="s">
        <v>424</v>
      </c>
      <c r="L34" s="791">
        <v>41918</v>
      </c>
      <c r="M34" s="435" t="s">
        <v>1017</v>
      </c>
      <c r="N34" s="397" t="s">
        <v>1112</v>
      </c>
      <c r="O34" s="397" t="s">
        <v>641</v>
      </c>
      <c r="P34" s="397" t="s">
        <v>1245</v>
      </c>
      <c r="Q34" s="722" t="s">
        <v>977</v>
      </c>
      <c r="R34" s="722" t="s">
        <v>977</v>
      </c>
      <c r="S34" s="397">
        <v>44905100</v>
      </c>
      <c r="T34" s="800">
        <f>64731.82+68293.43+85004.89+94740.55+58518.64+53606.41+65900.89+51654.08+50933.37+23567.33+69061.47+26714.56+23865.67+55026.61+59840.16+59848.42+58027.18+58842.92</f>
        <v>1028178.4000000001</v>
      </c>
      <c r="U34" s="800">
        <f>50000+58027.18+45000+13842.92</f>
        <v>166870.1</v>
      </c>
      <c r="V34" s="800">
        <f>64731.82+68293.43+58518.64+85004.89+94740.55+53606.41+19630.03+65900.89+51654.08+50933.37+23567.33</f>
        <v>636581.43999999994</v>
      </c>
      <c r="W34" s="800">
        <f>64731.82+68293.43+58518.64+85004.89+94740.55+53606.41+19630.03+65900.89+51654.08+50933.37+23567.33+U34</f>
        <v>803451.53999999992</v>
      </c>
      <c r="X34" s="796" t="s">
        <v>223</v>
      </c>
      <c r="Y34" s="3"/>
      <c r="Z34" s="816"/>
    </row>
    <row r="35" spans="1:26" s="129" customFormat="1" ht="20.399999999999999" x14ac:dyDescent="0.25">
      <c r="A35" s="689" t="s">
        <v>459</v>
      </c>
      <c r="B35" s="692" t="s">
        <v>421</v>
      </c>
      <c r="C35" s="802" t="s">
        <v>1109</v>
      </c>
      <c r="D35" s="802" t="s">
        <v>1108</v>
      </c>
      <c r="E35" s="688">
        <v>487484.08</v>
      </c>
      <c r="F35" s="688">
        <v>42389.919999999998</v>
      </c>
      <c r="G35" s="698"/>
      <c r="H35" s="698"/>
      <c r="I35" s="699" t="s">
        <v>1067</v>
      </c>
      <c r="J35" s="189" t="s">
        <v>1068</v>
      </c>
      <c r="K35" s="189" t="s">
        <v>468</v>
      </c>
      <c r="L35" s="187">
        <v>41897</v>
      </c>
      <c r="M35" s="305" t="s">
        <v>980</v>
      </c>
      <c r="N35" s="189" t="s">
        <v>1069</v>
      </c>
      <c r="O35" s="189" t="s">
        <v>641</v>
      </c>
      <c r="P35" s="397" t="s">
        <v>1070</v>
      </c>
      <c r="Q35" s="722" t="s">
        <v>977</v>
      </c>
      <c r="R35" s="722" t="s">
        <v>977</v>
      </c>
      <c r="S35" s="397">
        <v>44905100</v>
      </c>
      <c r="T35" s="800">
        <f>44078.17</f>
        <v>44078.17</v>
      </c>
      <c r="U35" s="789">
        <v>0</v>
      </c>
      <c r="V35" s="800">
        <f>10000+10000</f>
        <v>20000</v>
      </c>
      <c r="W35" s="800">
        <f>V35+U35</f>
        <v>20000</v>
      </c>
      <c r="X35" s="690" t="s">
        <v>223</v>
      </c>
    </row>
    <row r="36" spans="1:26" s="129" customFormat="1" ht="56.25" customHeight="1" x14ac:dyDescent="0.25">
      <c r="A36" s="689" t="s">
        <v>522</v>
      </c>
      <c r="B36" s="692" t="s">
        <v>461</v>
      </c>
      <c r="C36" s="802" t="s">
        <v>225</v>
      </c>
      <c r="D36" s="802" t="s">
        <v>225</v>
      </c>
      <c r="E36" s="802" t="s">
        <v>225</v>
      </c>
      <c r="F36" s="802" t="s">
        <v>225</v>
      </c>
      <c r="G36" s="698"/>
      <c r="H36" s="698"/>
      <c r="I36" s="699" t="s">
        <v>1006</v>
      </c>
      <c r="J36" s="189" t="s">
        <v>1073</v>
      </c>
      <c r="K36" s="189" t="s">
        <v>435</v>
      </c>
      <c r="L36" s="187">
        <v>41865</v>
      </c>
      <c r="M36" s="305" t="s">
        <v>984</v>
      </c>
      <c r="N36" s="188">
        <v>77556.649999999994</v>
      </c>
      <c r="O36" s="189" t="s">
        <v>641</v>
      </c>
      <c r="P36" s="397" t="s">
        <v>1088</v>
      </c>
      <c r="Q36" s="722" t="s">
        <v>977</v>
      </c>
      <c r="R36" s="722" t="s">
        <v>977</v>
      </c>
      <c r="S36" s="434" t="s">
        <v>5</v>
      </c>
      <c r="T36" s="800">
        <f>11738.35+21024.08+11105.51+12576.68+3131.9</f>
        <v>59576.520000000004</v>
      </c>
      <c r="U36" s="789">
        <v>0</v>
      </c>
      <c r="V36" s="800">
        <f>11105.51+12576.68+10512.04+3131.9</f>
        <v>37326.130000000005</v>
      </c>
      <c r="W36" s="800">
        <f>11738.35+7600+2912.04+11105.51+12576.68+10512.04+3131.9</f>
        <v>59576.520000000004</v>
      </c>
      <c r="X36" s="690" t="s">
        <v>223</v>
      </c>
    </row>
    <row r="37" spans="1:26" s="129" customFormat="1" ht="44.25" customHeight="1" x14ac:dyDescent="0.25">
      <c r="A37" s="689" t="s">
        <v>524</v>
      </c>
      <c r="B37" s="692" t="s">
        <v>463</v>
      </c>
      <c r="C37" s="802" t="s">
        <v>225</v>
      </c>
      <c r="D37" s="802" t="s">
        <v>225</v>
      </c>
      <c r="E37" s="802" t="s">
        <v>225</v>
      </c>
      <c r="F37" s="802" t="s">
        <v>225</v>
      </c>
      <c r="G37" s="698"/>
      <c r="H37" s="698"/>
      <c r="I37" s="699" t="s">
        <v>926</v>
      </c>
      <c r="J37" s="189" t="s">
        <v>549</v>
      </c>
      <c r="K37" s="189" t="s">
        <v>464</v>
      </c>
      <c r="L37" s="187">
        <v>41876</v>
      </c>
      <c r="M37" s="305" t="s">
        <v>976</v>
      </c>
      <c r="N37" s="188">
        <v>265500</v>
      </c>
      <c r="O37" s="189" t="s">
        <v>1003</v>
      </c>
      <c r="P37" s="397" t="s">
        <v>1124</v>
      </c>
      <c r="Q37" s="722" t="s">
        <v>977</v>
      </c>
      <c r="R37" s="722" t="s">
        <v>977</v>
      </c>
      <c r="S37" s="397">
        <v>44905100</v>
      </c>
      <c r="T37" s="800">
        <f>130000+50000+20284.44+6825.57</f>
        <v>207110.01</v>
      </c>
      <c r="U37" s="789">
        <v>0</v>
      </c>
      <c r="V37" s="800">
        <f>6825.57</f>
        <v>6825.57</v>
      </c>
      <c r="W37" s="800">
        <f>20284.44+50000+130000+6825.57</f>
        <v>207110.01</v>
      </c>
      <c r="X37" s="690" t="s">
        <v>221</v>
      </c>
    </row>
    <row r="38" spans="1:26" s="129" customFormat="1" ht="20.399999999999999" x14ac:dyDescent="0.25">
      <c r="A38" s="689" t="s">
        <v>527</v>
      </c>
      <c r="B38" s="692" t="s">
        <v>471</v>
      </c>
      <c r="C38" s="802" t="s">
        <v>225</v>
      </c>
      <c r="D38" s="802" t="s">
        <v>225</v>
      </c>
      <c r="E38" s="802" t="s">
        <v>225</v>
      </c>
      <c r="F38" s="802" t="s">
        <v>225</v>
      </c>
      <c r="G38" s="698"/>
      <c r="H38" s="698"/>
      <c r="I38" s="699" t="s">
        <v>978</v>
      </c>
      <c r="J38" s="187" t="s">
        <v>570</v>
      </c>
      <c r="K38" s="187" t="s">
        <v>466</v>
      </c>
      <c r="L38" s="187">
        <v>41884</v>
      </c>
      <c r="M38" s="305" t="s">
        <v>982</v>
      </c>
      <c r="N38" s="188">
        <v>120282.25</v>
      </c>
      <c r="O38" s="189" t="s">
        <v>1077</v>
      </c>
      <c r="P38" s="722" t="s">
        <v>977</v>
      </c>
      <c r="Q38" s="722" t="s">
        <v>977</v>
      </c>
      <c r="R38" s="722" t="s">
        <v>977</v>
      </c>
      <c r="S38" s="397">
        <v>44905100</v>
      </c>
      <c r="T38" s="800">
        <f>47696.61+60095.54</f>
        <v>107792.15</v>
      </c>
      <c r="U38" s="789">
        <v>0</v>
      </c>
      <c r="V38" s="800">
        <v>0</v>
      </c>
      <c r="W38" s="800">
        <f>60095.54+47696.61</f>
        <v>107792.15</v>
      </c>
      <c r="X38" s="690" t="s">
        <v>221</v>
      </c>
    </row>
    <row r="39" spans="1:26" s="129" customFormat="1" ht="20.399999999999999" x14ac:dyDescent="0.25">
      <c r="A39" s="689" t="s">
        <v>529</v>
      </c>
      <c r="B39" s="692" t="s">
        <v>473</v>
      </c>
      <c r="C39" s="802" t="s">
        <v>1066</v>
      </c>
      <c r="D39" s="802" t="s">
        <v>1047</v>
      </c>
      <c r="E39" s="688">
        <v>424104.96000000002</v>
      </c>
      <c r="F39" s="688">
        <v>525895.04</v>
      </c>
      <c r="G39" s="698"/>
      <c r="H39" s="698"/>
      <c r="I39" s="702" t="s">
        <v>1067</v>
      </c>
      <c r="J39" s="187" t="s">
        <v>1068</v>
      </c>
      <c r="K39" s="187" t="s">
        <v>504</v>
      </c>
      <c r="L39" s="187">
        <v>41961</v>
      </c>
      <c r="M39" s="305" t="s">
        <v>1002</v>
      </c>
      <c r="N39" s="188">
        <v>950000</v>
      </c>
      <c r="O39" s="189" t="s">
        <v>641</v>
      </c>
      <c r="P39" s="397" t="s">
        <v>1125</v>
      </c>
      <c r="Q39" s="722" t="s">
        <v>977</v>
      </c>
      <c r="R39" s="722" t="s">
        <v>977</v>
      </c>
      <c r="S39" s="397">
        <v>44905100</v>
      </c>
      <c r="T39" s="800">
        <f>31598.21+37812.74+56025.7+16434.13+40658.65</f>
        <v>182529.43</v>
      </c>
      <c r="U39" s="789">
        <v>0</v>
      </c>
      <c r="V39" s="800">
        <f>56025.7+31598.21+37812.74</f>
        <v>125436.65</v>
      </c>
      <c r="W39" s="800">
        <f>56025.7+31598.21+37812.74</f>
        <v>125436.65</v>
      </c>
      <c r="X39" s="824" t="s">
        <v>223</v>
      </c>
    </row>
    <row r="40" spans="1:26" s="129" customFormat="1" ht="30.6" x14ac:dyDescent="0.25">
      <c r="A40" s="689" t="s">
        <v>531</v>
      </c>
      <c r="B40" s="696" t="s">
        <v>475</v>
      </c>
      <c r="C40" s="802" t="s">
        <v>225</v>
      </c>
      <c r="D40" s="802" t="s">
        <v>225</v>
      </c>
      <c r="E40" s="802" t="s">
        <v>225</v>
      </c>
      <c r="F40" s="802" t="s">
        <v>225</v>
      </c>
      <c r="G40" s="698"/>
      <c r="H40" s="698"/>
      <c r="I40" s="699" t="s">
        <v>1074</v>
      </c>
      <c r="J40" s="189" t="s">
        <v>1075</v>
      </c>
      <c r="K40" s="187" t="s">
        <v>505</v>
      </c>
      <c r="L40" s="187">
        <v>41961</v>
      </c>
      <c r="M40" s="305" t="s">
        <v>980</v>
      </c>
      <c r="N40" s="188">
        <v>1291865.8799999999</v>
      </c>
      <c r="O40" s="189" t="s">
        <v>1126</v>
      </c>
      <c r="P40" s="397" t="s">
        <v>1094</v>
      </c>
      <c r="Q40" s="397" t="s">
        <v>1093</v>
      </c>
      <c r="R40" s="722" t="s">
        <v>977</v>
      </c>
      <c r="S40" s="397">
        <v>44905100</v>
      </c>
      <c r="T40" s="800">
        <f>35364.62+252279.5+94329.79+139729.8+166977.64+169628.44+132033.8+110604.74+111780.5+79245.55+9371.4+24380.6+62432.81+51557.31+15700.15</f>
        <v>1455416.6500000001</v>
      </c>
      <c r="U40" s="800">
        <v>0</v>
      </c>
      <c r="V40" s="800">
        <f>T40</f>
        <v>1455416.6500000001</v>
      </c>
      <c r="W40" s="800">
        <f>90000+162279.5+139729.8+94329.79+166977.64+169628.44+132033.8+110604.74+111780.5+65000+62432.81+51557.31+9371.4+14245.55+15700.15+24380.6</f>
        <v>1420052.03</v>
      </c>
      <c r="X40" s="824" t="s">
        <v>223</v>
      </c>
    </row>
    <row r="41" spans="1:26" s="129" customFormat="1" ht="61.2" x14ac:dyDescent="0.25">
      <c r="A41" s="689" t="s">
        <v>533</v>
      </c>
      <c r="B41" s="696" t="s">
        <v>476</v>
      </c>
      <c r="C41" s="802" t="s">
        <v>225</v>
      </c>
      <c r="D41" s="802" t="s">
        <v>225</v>
      </c>
      <c r="E41" s="802" t="s">
        <v>225</v>
      </c>
      <c r="F41" s="802" t="s">
        <v>225</v>
      </c>
      <c r="G41" s="698"/>
      <c r="H41" s="698"/>
      <c r="I41" s="188" t="s">
        <v>1080</v>
      </c>
      <c r="J41" s="187" t="s">
        <v>1079</v>
      </c>
      <c r="K41" s="187" t="s">
        <v>494</v>
      </c>
      <c r="L41" s="187">
        <v>41913</v>
      </c>
      <c r="M41" s="305" t="s">
        <v>982</v>
      </c>
      <c r="N41" s="188">
        <v>110437.88</v>
      </c>
      <c r="O41" s="691" t="s">
        <v>4</v>
      </c>
      <c r="P41" s="397" t="s">
        <v>1127</v>
      </c>
      <c r="Q41" s="722" t="s">
        <v>977</v>
      </c>
      <c r="R41" s="722" t="s">
        <v>977</v>
      </c>
      <c r="S41" s="397">
        <v>44905100</v>
      </c>
      <c r="T41" s="800">
        <f>40959.7</f>
        <v>40959.699999999997</v>
      </c>
      <c r="U41" s="789">
        <v>0</v>
      </c>
      <c r="V41" s="800">
        <v>0</v>
      </c>
      <c r="W41" s="800">
        <f>40959.7</f>
        <v>40959.699999999997</v>
      </c>
      <c r="X41" s="690" t="s">
        <v>4</v>
      </c>
    </row>
    <row r="42" spans="1:26" s="129" customFormat="1" ht="81.599999999999994" x14ac:dyDescent="0.25">
      <c r="A42" s="689" t="s">
        <v>534</v>
      </c>
      <c r="B42" s="696" t="s">
        <v>477</v>
      </c>
      <c r="C42" s="802" t="s">
        <v>225</v>
      </c>
      <c r="D42" s="802" t="s">
        <v>225</v>
      </c>
      <c r="E42" s="802" t="s">
        <v>225</v>
      </c>
      <c r="F42" s="802" t="s">
        <v>225</v>
      </c>
      <c r="G42" s="698"/>
      <c r="H42" s="698"/>
      <c r="I42" s="699" t="s">
        <v>1006</v>
      </c>
      <c r="J42" s="189" t="s">
        <v>1073</v>
      </c>
      <c r="K42" s="187" t="s">
        <v>496</v>
      </c>
      <c r="L42" s="187">
        <v>41915</v>
      </c>
      <c r="M42" s="305" t="s">
        <v>1072</v>
      </c>
      <c r="N42" s="188">
        <v>26960.95</v>
      </c>
      <c r="O42" s="691" t="s">
        <v>4</v>
      </c>
      <c r="P42" s="397" t="s">
        <v>1131</v>
      </c>
      <c r="Q42" s="722" t="s">
        <v>977</v>
      </c>
      <c r="R42" s="722" t="s">
        <v>977</v>
      </c>
      <c r="S42" s="397">
        <v>44905100</v>
      </c>
      <c r="T42" s="800">
        <v>16060.07</v>
      </c>
      <c r="U42" s="789">
        <v>0</v>
      </c>
      <c r="V42" s="800">
        <v>0</v>
      </c>
      <c r="W42" s="800">
        <f>16060.07</f>
        <v>16060.07</v>
      </c>
      <c r="X42" s="690" t="s">
        <v>4</v>
      </c>
    </row>
    <row r="43" spans="1:26" s="129" customFormat="1" ht="51" x14ac:dyDescent="0.25">
      <c r="A43" s="689" t="s">
        <v>535</v>
      </c>
      <c r="B43" s="696" t="s">
        <v>478</v>
      </c>
      <c r="C43" s="802" t="s">
        <v>225</v>
      </c>
      <c r="D43" s="802" t="s">
        <v>225</v>
      </c>
      <c r="E43" s="802" t="s">
        <v>225</v>
      </c>
      <c r="F43" s="802" t="s">
        <v>225</v>
      </c>
      <c r="G43" s="698"/>
      <c r="H43" s="698"/>
      <c r="I43" s="188" t="s">
        <v>941</v>
      </c>
      <c r="J43" s="187" t="s">
        <v>939</v>
      </c>
      <c r="K43" s="187" t="s">
        <v>498</v>
      </c>
      <c r="L43" s="187">
        <v>41920</v>
      </c>
      <c r="M43" s="305" t="s">
        <v>990</v>
      </c>
      <c r="N43" s="188">
        <v>140988.01999999999</v>
      </c>
      <c r="O43" s="691" t="s">
        <v>4</v>
      </c>
      <c r="P43" s="397" t="s">
        <v>1128</v>
      </c>
      <c r="Q43" s="722" t="s">
        <v>977</v>
      </c>
      <c r="R43" s="722" t="s">
        <v>977</v>
      </c>
      <c r="S43" s="397">
        <v>44905100</v>
      </c>
      <c r="T43" s="800">
        <v>2972.84</v>
      </c>
      <c r="U43" s="789">
        <v>0</v>
      </c>
      <c r="V43" s="800">
        <v>2972.84</v>
      </c>
      <c r="W43" s="800">
        <f>V43+U43</f>
        <v>2972.84</v>
      </c>
      <c r="X43" s="690" t="s">
        <v>4</v>
      </c>
    </row>
    <row r="44" spans="1:26" s="129" customFormat="1" ht="61.2" x14ac:dyDescent="0.25">
      <c r="A44" s="689" t="s">
        <v>536</v>
      </c>
      <c r="B44" s="696" t="s">
        <v>479</v>
      </c>
      <c r="C44" s="802" t="s">
        <v>225</v>
      </c>
      <c r="D44" s="802" t="s">
        <v>225</v>
      </c>
      <c r="E44" s="802" t="s">
        <v>225</v>
      </c>
      <c r="F44" s="802" t="s">
        <v>225</v>
      </c>
      <c r="G44" s="698"/>
      <c r="H44" s="698"/>
      <c r="I44" s="699" t="s">
        <v>978</v>
      </c>
      <c r="J44" s="187" t="s">
        <v>570</v>
      </c>
      <c r="K44" s="187" t="s">
        <v>499</v>
      </c>
      <c r="L44" s="187">
        <v>41926</v>
      </c>
      <c r="M44" s="305" t="s">
        <v>982</v>
      </c>
      <c r="N44" s="188">
        <v>129117.38</v>
      </c>
      <c r="O44" s="691" t="s">
        <v>4</v>
      </c>
      <c r="P44" s="397" t="s">
        <v>1127</v>
      </c>
      <c r="Q44" s="722" t="s">
        <v>977</v>
      </c>
      <c r="R44" s="722" t="s">
        <v>977</v>
      </c>
      <c r="S44" s="397">
        <v>44905100</v>
      </c>
      <c r="T44" s="800">
        <v>75030.2</v>
      </c>
      <c r="U44" s="789">
        <v>0</v>
      </c>
      <c r="V44" s="800">
        <f>30300+7215.1</f>
        <v>37515.1</v>
      </c>
      <c r="W44" s="800">
        <f>37515.1+30300+7215.1</f>
        <v>75030.200000000012</v>
      </c>
      <c r="X44" s="690" t="s">
        <v>4</v>
      </c>
    </row>
    <row r="45" spans="1:26" s="129" customFormat="1" ht="51" x14ac:dyDescent="0.25">
      <c r="A45" s="689" t="s">
        <v>537</v>
      </c>
      <c r="B45" s="696" t="s">
        <v>480</v>
      </c>
      <c r="C45" s="802" t="s">
        <v>225</v>
      </c>
      <c r="D45" s="802" t="s">
        <v>225</v>
      </c>
      <c r="E45" s="802" t="s">
        <v>225</v>
      </c>
      <c r="F45" s="802" t="s">
        <v>225</v>
      </c>
      <c r="G45" s="698"/>
      <c r="H45" s="698"/>
      <c r="I45" s="699" t="s">
        <v>1006</v>
      </c>
      <c r="J45" s="189" t="s">
        <v>1073</v>
      </c>
      <c r="K45" s="187" t="s">
        <v>501</v>
      </c>
      <c r="L45" s="187">
        <v>41932</v>
      </c>
      <c r="M45" s="305" t="s">
        <v>976</v>
      </c>
      <c r="N45" s="188">
        <v>135335.89000000001</v>
      </c>
      <c r="O45" s="691" t="s">
        <v>4</v>
      </c>
      <c r="P45" s="397" t="s">
        <v>1129</v>
      </c>
      <c r="Q45" s="722">
        <v>-30342</v>
      </c>
      <c r="R45" s="722" t="s">
        <v>977</v>
      </c>
      <c r="S45" s="397">
        <v>44905100</v>
      </c>
      <c r="T45" s="800">
        <f>13765.81+27960.22+8592.48+38284.62+16193.8</f>
        <v>104796.93000000001</v>
      </c>
      <c r="U45" s="789">
        <f>16193.8</f>
        <v>16193.8</v>
      </c>
      <c r="V45" s="800">
        <f>8592.48+38284.62+13765.81+27960.22</f>
        <v>88603.13</v>
      </c>
      <c r="W45" s="800">
        <f>V45+U45</f>
        <v>104796.93000000001</v>
      </c>
      <c r="X45" s="690" t="s">
        <v>4</v>
      </c>
    </row>
    <row r="46" spans="1:26" s="129" customFormat="1" ht="20.399999999999999" x14ac:dyDescent="0.25">
      <c r="A46" s="689" t="s">
        <v>538</v>
      </c>
      <c r="B46" s="696" t="s">
        <v>481</v>
      </c>
      <c r="C46" s="802" t="s">
        <v>225</v>
      </c>
      <c r="D46" s="802" t="s">
        <v>225</v>
      </c>
      <c r="E46" s="802" t="s">
        <v>225</v>
      </c>
      <c r="F46" s="802" t="s">
        <v>225</v>
      </c>
      <c r="G46" s="698"/>
      <c r="H46" s="698"/>
      <c r="I46" s="699" t="s">
        <v>1081</v>
      </c>
      <c r="J46" s="189" t="s">
        <v>1085</v>
      </c>
      <c r="K46" s="187" t="s">
        <v>645</v>
      </c>
      <c r="L46" s="187">
        <v>42149</v>
      </c>
      <c r="M46" s="305" t="s">
        <v>980</v>
      </c>
      <c r="N46" s="188">
        <v>3316951.94</v>
      </c>
      <c r="O46" s="305" t="s">
        <v>4</v>
      </c>
      <c r="P46" s="435" t="s">
        <v>980</v>
      </c>
      <c r="Q46" s="722" t="s">
        <v>977</v>
      </c>
      <c r="R46" s="722" t="s">
        <v>977</v>
      </c>
      <c r="S46" s="397">
        <v>44905100</v>
      </c>
      <c r="T46" s="800">
        <f>164714.47+117559.49</f>
        <v>282273.96000000002</v>
      </c>
      <c r="U46" s="789">
        <v>0</v>
      </c>
      <c r="V46" s="800">
        <f>87000+77714.47</f>
        <v>164714.47</v>
      </c>
      <c r="W46" s="800">
        <f>V46</f>
        <v>164714.47</v>
      </c>
      <c r="X46" s="690" t="s">
        <v>4</v>
      </c>
    </row>
    <row r="47" spans="1:26" s="129" customFormat="1" ht="20.399999999999999" x14ac:dyDescent="0.25">
      <c r="A47" s="689" t="s">
        <v>539</v>
      </c>
      <c r="B47" s="696" t="s">
        <v>482</v>
      </c>
      <c r="C47" s="802" t="s">
        <v>225</v>
      </c>
      <c r="D47" s="802" t="s">
        <v>225</v>
      </c>
      <c r="E47" s="802" t="s">
        <v>225</v>
      </c>
      <c r="F47" s="802" t="s">
        <v>225</v>
      </c>
      <c r="G47" s="698"/>
      <c r="H47" s="698"/>
      <c r="I47" s="189" t="s">
        <v>1074</v>
      </c>
      <c r="J47" s="189" t="s">
        <v>1075</v>
      </c>
      <c r="K47" s="187" t="s">
        <v>618</v>
      </c>
      <c r="L47" s="187">
        <v>42062</v>
      </c>
      <c r="M47" s="305" t="s">
        <v>1082</v>
      </c>
      <c r="N47" s="188">
        <v>3329568.49</v>
      </c>
      <c r="O47" s="305" t="s">
        <v>4</v>
      </c>
      <c r="P47" s="722" t="s">
        <v>977</v>
      </c>
      <c r="Q47" s="396">
        <v>55563.01</v>
      </c>
      <c r="R47" s="722" t="s">
        <v>977</v>
      </c>
      <c r="S47" s="397">
        <v>44905100</v>
      </c>
      <c r="T47" s="800">
        <f>6791.9+55563.01</f>
        <v>62354.91</v>
      </c>
      <c r="U47" s="789">
        <v>0</v>
      </c>
      <c r="V47" s="800">
        <f>6791.9+55563.01</f>
        <v>62354.91</v>
      </c>
      <c r="W47" s="800">
        <f>6791.9+55563.01</f>
        <v>62354.91</v>
      </c>
      <c r="X47" s="690" t="s">
        <v>4</v>
      </c>
    </row>
    <row r="48" spans="1:26" s="129" customFormat="1" ht="30.6" x14ac:dyDescent="0.25">
      <c r="A48" s="689" t="s">
        <v>541</v>
      </c>
      <c r="B48" s="696" t="s">
        <v>1098</v>
      </c>
      <c r="C48" s="802" t="s">
        <v>225</v>
      </c>
      <c r="D48" s="802" t="s">
        <v>225</v>
      </c>
      <c r="E48" s="802" t="s">
        <v>225</v>
      </c>
      <c r="F48" s="802" t="s">
        <v>225</v>
      </c>
      <c r="G48" s="698"/>
      <c r="H48" s="698"/>
      <c r="I48" s="188" t="s">
        <v>941</v>
      </c>
      <c r="J48" s="187" t="s">
        <v>939</v>
      </c>
      <c r="K48" s="187" t="s">
        <v>507</v>
      </c>
      <c r="L48" s="187">
        <v>41971</v>
      </c>
      <c r="M48" s="305" t="s">
        <v>984</v>
      </c>
      <c r="N48" s="188">
        <v>9852.77</v>
      </c>
      <c r="O48" s="691" t="s">
        <v>598</v>
      </c>
      <c r="P48" s="722" t="s">
        <v>977</v>
      </c>
      <c r="Q48" s="722" t="s">
        <v>977</v>
      </c>
      <c r="R48" s="722" t="s">
        <v>977</v>
      </c>
      <c r="S48" s="397">
        <v>44905100</v>
      </c>
      <c r="T48" s="789">
        <v>0</v>
      </c>
      <c r="U48" s="789">
        <v>0</v>
      </c>
      <c r="V48" s="800">
        <v>0</v>
      </c>
      <c r="W48" s="800">
        <v>0</v>
      </c>
      <c r="X48" s="690" t="s">
        <v>598</v>
      </c>
    </row>
    <row r="49" spans="1:27" s="129" customFormat="1" ht="30.6" x14ac:dyDescent="0.25">
      <c r="A49" s="689" t="s">
        <v>542</v>
      </c>
      <c r="B49" s="696" t="s">
        <v>1099</v>
      </c>
      <c r="C49" s="802" t="s">
        <v>225</v>
      </c>
      <c r="D49" s="802" t="s">
        <v>225</v>
      </c>
      <c r="E49" s="802" t="s">
        <v>225</v>
      </c>
      <c r="F49" s="802" t="s">
        <v>225</v>
      </c>
      <c r="G49" s="698"/>
      <c r="H49" s="698"/>
      <c r="I49" s="699" t="s">
        <v>1081</v>
      </c>
      <c r="J49" s="189" t="s">
        <v>1269</v>
      </c>
      <c r="K49" s="189" t="s">
        <v>513</v>
      </c>
      <c r="L49" s="187">
        <v>41992</v>
      </c>
      <c r="M49" s="305" t="s">
        <v>976</v>
      </c>
      <c r="N49" s="188">
        <v>395308.55</v>
      </c>
      <c r="O49" s="691" t="s">
        <v>4</v>
      </c>
      <c r="P49" s="397" t="s">
        <v>1076</v>
      </c>
      <c r="Q49" s="722" t="s">
        <v>977</v>
      </c>
      <c r="R49" s="722" t="s">
        <v>977</v>
      </c>
      <c r="S49" s="397">
        <v>44905100</v>
      </c>
      <c r="T49" s="800">
        <f>87225.38+50665.95+131297.44</f>
        <v>269188.77</v>
      </c>
      <c r="U49" s="789">
        <v>0</v>
      </c>
      <c r="V49" s="800">
        <f>87225.38+50665.95</f>
        <v>137891.33000000002</v>
      </c>
      <c r="W49" s="800">
        <f>87225.38+50665.95</f>
        <v>137891.33000000002</v>
      </c>
      <c r="X49" s="690" t="s">
        <v>4</v>
      </c>
    </row>
    <row r="50" spans="1:27" s="185" customFormat="1" ht="30.6" x14ac:dyDescent="0.25">
      <c r="A50" s="689" t="s">
        <v>543</v>
      </c>
      <c r="B50" s="696" t="s">
        <v>1100</v>
      </c>
      <c r="C50" s="802" t="s">
        <v>225</v>
      </c>
      <c r="D50" s="802" t="s">
        <v>225</v>
      </c>
      <c r="E50" s="802" t="s">
        <v>225</v>
      </c>
      <c r="F50" s="802" t="s">
        <v>225</v>
      </c>
      <c r="G50" s="698"/>
      <c r="H50" s="698"/>
      <c r="I50" s="699" t="s">
        <v>1025</v>
      </c>
      <c r="J50" s="189" t="s">
        <v>830</v>
      </c>
      <c r="K50" s="189" t="s">
        <v>512</v>
      </c>
      <c r="L50" s="187">
        <v>41994</v>
      </c>
      <c r="M50" s="305" t="s">
        <v>1082</v>
      </c>
      <c r="N50" s="188">
        <v>172800</v>
      </c>
      <c r="O50" s="189" t="s">
        <v>1089</v>
      </c>
      <c r="P50" s="435" t="s">
        <v>977</v>
      </c>
      <c r="Q50" s="435">
        <v>42300</v>
      </c>
      <c r="R50" s="435" t="s">
        <v>977</v>
      </c>
      <c r="S50" s="397">
        <v>44905100</v>
      </c>
      <c r="T50" s="800">
        <f>17280+17280+17280+17280+17280+17280+17280+34100+17600+42300</f>
        <v>214960</v>
      </c>
      <c r="U50" s="789">
        <v>0</v>
      </c>
      <c r="V50" s="800">
        <f>34100+17600+12400+14950+14950+17280+17280+17280+17280+17280+17280+17280</f>
        <v>214960</v>
      </c>
      <c r="W50" s="800">
        <f>V50+U50</f>
        <v>214960</v>
      </c>
      <c r="X50" s="690" t="s">
        <v>221</v>
      </c>
    </row>
    <row r="51" spans="1:27" s="129" customFormat="1" ht="20.399999999999999" x14ac:dyDescent="0.25">
      <c r="A51" s="689" t="s">
        <v>544</v>
      </c>
      <c r="B51" s="696" t="s">
        <v>1101</v>
      </c>
      <c r="C51" s="802" t="s">
        <v>225</v>
      </c>
      <c r="D51" s="802" t="s">
        <v>225</v>
      </c>
      <c r="E51" s="802" t="s">
        <v>225</v>
      </c>
      <c r="F51" s="802" t="s">
        <v>225</v>
      </c>
      <c r="G51" s="698"/>
      <c r="H51" s="698"/>
      <c r="I51" s="699" t="s">
        <v>1031</v>
      </c>
      <c r="J51" s="189" t="s">
        <v>1032</v>
      </c>
      <c r="K51" s="189" t="s">
        <v>586</v>
      </c>
      <c r="L51" s="187">
        <v>42040</v>
      </c>
      <c r="M51" s="305" t="s">
        <v>1090</v>
      </c>
      <c r="N51" s="188">
        <v>53068701.600000001</v>
      </c>
      <c r="O51" s="699" t="s">
        <v>4</v>
      </c>
      <c r="P51" s="722" t="s">
        <v>977</v>
      </c>
      <c r="Q51" s="722" t="s">
        <v>977</v>
      </c>
      <c r="R51" s="722" t="s">
        <v>977</v>
      </c>
      <c r="S51" s="397" t="s">
        <v>1015</v>
      </c>
      <c r="T51" s="800">
        <f>529831.96+624243.28+618889.32+620920.66+617328.97+627757.72+639486.87+636364.95+641603.55+637131.92+639176.78+632124.76</f>
        <v>7464860.7400000002</v>
      </c>
      <c r="U51" s="789">
        <f>245000+392131.92+310000+336932.65+330000</f>
        <v>1614064.5699999998</v>
      </c>
      <c r="V51" s="800">
        <f>319743.43+319743.44+636364.95+641603.55+529831.96+624243.28+618889.32+620920.66+617328.97+627757.72</f>
        <v>5556427.2799999993</v>
      </c>
      <c r="W51" s="800">
        <f>V51+U51</f>
        <v>7170491.8499999996</v>
      </c>
      <c r="X51" s="690" t="s">
        <v>221</v>
      </c>
    </row>
    <row r="52" spans="1:27" s="129" customFormat="1" ht="20.399999999999999" x14ac:dyDescent="0.25">
      <c r="A52" s="689" t="s">
        <v>546</v>
      </c>
      <c r="B52" s="696" t="s">
        <v>489</v>
      </c>
      <c r="C52" s="802" t="s">
        <v>225</v>
      </c>
      <c r="D52" s="802" t="s">
        <v>225</v>
      </c>
      <c r="E52" s="802" t="s">
        <v>225</v>
      </c>
      <c r="F52" s="802" t="s">
        <v>225</v>
      </c>
      <c r="G52" s="698"/>
      <c r="H52" s="698"/>
      <c r="I52" s="699" t="s">
        <v>978</v>
      </c>
      <c r="J52" s="187" t="s">
        <v>570</v>
      </c>
      <c r="K52" s="189" t="s">
        <v>510</v>
      </c>
      <c r="L52" s="187">
        <v>41982</v>
      </c>
      <c r="M52" s="305" t="s">
        <v>1091</v>
      </c>
      <c r="N52" s="188">
        <v>99751.56</v>
      </c>
      <c r="O52" s="189" t="s">
        <v>1092</v>
      </c>
      <c r="P52" s="435" t="s">
        <v>1091</v>
      </c>
      <c r="Q52" s="435">
        <v>24653.31</v>
      </c>
      <c r="R52" s="722" t="s">
        <v>977</v>
      </c>
      <c r="S52" s="397">
        <v>44905100</v>
      </c>
      <c r="T52" s="800">
        <f>54467.33+69578.84</f>
        <v>124046.17</v>
      </c>
      <c r="U52" s="789">
        <v>0</v>
      </c>
      <c r="V52" s="800">
        <f>50000+4467.33+24294.61+45284.23</f>
        <v>124046.17000000001</v>
      </c>
      <c r="W52" s="800">
        <f>50000+4467.33+24294.61+45284.23</f>
        <v>124046.17000000001</v>
      </c>
      <c r="X52" s="690" t="s">
        <v>221</v>
      </c>
    </row>
    <row r="53" spans="1:27" ht="22.8" x14ac:dyDescent="0.4">
      <c r="A53" s="822"/>
      <c r="B53" s="808"/>
      <c r="C53" s="831"/>
      <c r="D53" s="831"/>
      <c r="E53" s="831"/>
      <c r="F53" s="831"/>
      <c r="G53" s="808"/>
      <c r="H53" s="808"/>
      <c r="I53" s="808"/>
      <c r="J53" s="808"/>
      <c r="K53" s="809"/>
      <c r="L53" s="809"/>
      <c r="M53" s="809"/>
      <c r="N53" s="809"/>
      <c r="O53" s="809"/>
      <c r="P53" s="809"/>
      <c r="Q53" s="809"/>
      <c r="R53" s="809"/>
      <c r="S53" s="809"/>
      <c r="T53" s="809"/>
      <c r="U53" s="810"/>
      <c r="V53" s="811"/>
      <c r="W53" s="811"/>
      <c r="X53" s="822"/>
      <c r="Y53" s="3"/>
    </row>
    <row r="54" spans="1:27" s="721" customFormat="1" ht="22.8" x14ac:dyDescent="0.4">
      <c r="A54" s="823"/>
      <c r="B54" s="998" t="s">
        <v>589</v>
      </c>
      <c r="C54" s="998"/>
      <c r="D54" s="998"/>
      <c r="E54" s="998"/>
      <c r="F54" s="998"/>
      <c r="G54" s="998"/>
      <c r="H54" s="998"/>
      <c r="I54" s="998"/>
      <c r="J54" s="998"/>
      <c r="K54" s="998"/>
      <c r="L54" s="742"/>
      <c r="M54" s="742"/>
      <c r="N54" s="742"/>
      <c r="O54" s="742"/>
      <c r="P54" s="742"/>
      <c r="Q54" s="742"/>
      <c r="R54" s="742"/>
      <c r="S54" s="742"/>
      <c r="T54" s="742"/>
      <c r="U54" s="812"/>
      <c r="V54" s="758"/>
      <c r="W54" s="758"/>
      <c r="X54" s="823"/>
    </row>
    <row r="55" spans="1:27" s="129" customFormat="1" ht="22.8" x14ac:dyDescent="0.4">
      <c r="A55" s="825"/>
      <c r="B55" s="990" t="s">
        <v>364</v>
      </c>
      <c r="C55" s="990"/>
      <c r="D55" s="990"/>
      <c r="E55" s="990"/>
      <c r="F55" s="990"/>
      <c r="G55" s="990"/>
      <c r="H55" s="990"/>
      <c r="I55" s="990"/>
      <c r="J55" s="990"/>
      <c r="K55" s="991"/>
      <c r="L55" s="804"/>
      <c r="M55" s="804"/>
      <c r="N55" s="804"/>
      <c r="O55" s="804"/>
      <c r="P55" s="807"/>
      <c r="Q55" s="807"/>
      <c r="R55" s="807"/>
      <c r="S55" s="807"/>
      <c r="T55" s="807"/>
      <c r="U55" s="786"/>
      <c r="V55" s="786"/>
      <c r="W55" s="786"/>
      <c r="X55" s="825"/>
    </row>
    <row r="56" spans="1:27" s="770" customFormat="1" ht="30.6" x14ac:dyDescent="0.25">
      <c r="A56" s="838" t="s">
        <v>608</v>
      </c>
      <c r="B56" s="760" t="s">
        <v>607</v>
      </c>
      <c r="C56" s="832" t="s">
        <v>225</v>
      </c>
      <c r="D56" s="832" t="s">
        <v>225</v>
      </c>
      <c r="E56" s="832" t="s">
        <v>225</v>
      </c>
      <c r="F56" s="832" t="s">
        <v>225</v>
      </c>
      <c r="G56" s="761"/>
      <c r="H56" s="762"/>
      <c r="I56" s="763" t="s">
        <v>943</v>
      </c>
      <c r="J56" s="764" t="s">
        <v>942</v>
      </c>
      <c r="K56" s="759" t="s">
        <v>606</v>
      </c>
      <c r="L56" s="765" t="s">
        <v>983</v>
      </c>
      <c r="M56" s="766" t="s">
        <v>984</v>
      </c>
      <c r="N56" s="763">
        <v>7621.55</v>
      </c>
      <c r="O56" s="767">
        <v>42177</v>
      </c>
      <c r="P56" s="396" t="s">
        <v>1116</v>
      </c>
      <c r="Q56" s="435" t="s">
        <v>977</v>
      </c>
      <c r="R56" s="435" t="s">
        <v>977</v>
      </c>
      <c r="S56" s="793">
        <v>44905100</v>
      </c>
      <c r="T56" s="789">
        <v>3067.81</v>
      </c>
      <c r="U56" s="789">
        <v>0</v>
      </c>
      <c r="V56" s="789">
        <v>0</v>
      </c>
      <c r="W56" s="789">
        <v>3067.81</v>
      </c>
      <c r="X56" s="826" t="s">
        <v>221</v>
      </c>
      <c r="Z56" s="771"/>
    </row>
    <row r="57" spans="1:27" s="783" customFormat="1" ht="20.399999999999999" x14ac:dyDescent="0.25">
      <c r="A57" s="839" t="s">
        <v>615</v>
      </c>
      <c r="B57" s="773" t="s">
        <v>614</v>
      </c>
      <c r="C57" s="833" t="s">
        <v>225</v>
      </c>
      <c r="D57" s="833" t="s">
        <v>225</v>
      </c>
      <c r="E57" s="833" t="s">
        <v>225</v>
      </c>
      <c r="F57" s="833" t="s">
        <v>225</v>
      </c>
      <c r="G57" s="774"/>
      <c r="H57" s="775"/>
      <c r="I57" s="776" t="s">
        <v>941</v>
      </c>
      <c r="J57" s="777" t="s">
        <v>939</v>
      </c>
      <c r="K57" s="772" t="s">
        <v>609</v>
      </c>
      <c r="L57" s="778" t="s">
        <v>985</v>
      </c>
      <c r="M57" s="779" t="s">
        <v>984</v>
      </c>
      <c r="N57" s="776">
        <v>9709.4599999999991</v>
      </c>
      <c r="O57" s="780">
        <v>42083</v>
      </c>
      <c r="P57" s="435" t="s">
        <v>977</v>
      </c>
      <c r="Q57" s="435" t="s">
        <v>977</v>
      </c>
      <c r="R57" s="435" t="s">
        <v>977</v>
      </c>
      <c r="S57" s="793">
        <v>44905100</v>
      </c>
      <c r="T57" s="789">
        <v>0</v>
      </c>
      <c r="U57" s="789">
        <v>0</v>
      </c>
      <c r="V57" s="789">
        <v>0</v>
      </c>
      <c r="W57" s="789">
        <v>0</v>
      </c>
      <c r="X57" s="827" t="s">
        <v>1106</v>
      </c>
      <c r="Z57" s="784"/>
    </row>
    <row r="58" spans="1:27" s="129" customFormat="1" ht="51" x14ac:dyDescent="0.25">
      <c r="A58" s="689" t="s">
        <v>620</v>
      </c>
      <c r="B58" s="696" t="s">
        <v>619</v>
      </c>
      <c r="C58" s="802" t="s">
        <v>225</v>
      </c>
      <c r="D58" s="802" t="s">
        <v>225</v>
      </c>
      <c r="E58" s="802" t="s">
        <v>225</v>
      </c>
      <c r="F58" s="802" t="s">
        <v>225</v>
      </c>
      <c r="G58" s="190"/>
      <c r="H58" s="495"/>
      <c r="I58" s="188" t="s">
        <v>978</v>
      </c>
      <c r="J58" s="305" t="s">
        <v>570</v>
      </c>
      <c r="K58" s="187" t="s">
        <v>621</v>
      </c>
      <c r="L58" s="701" t="s">
        <v>979</v>
      </c>
      <c r="M58" s="305" t="s">
        <v>980</v>
      </c>
      <c r="N58" s="188">
        <v>361987.73</v>
      </c>
      <c r="O58" s="305" t="s">
        <v>641</v>
      </c>
      <c r="P58" s="435" t="s">
        <v>980</v>
      </c>
      <c r="Q58" s="819" t="s">
        <v>981</v>
      </c>
      <c r="R58" s="435" t="s">
        <v>977</v>
      </c>
      <c r="S58" s="793">
        <v>44905100</v>
      </c>
      <c r="T58" s="800">
        <f>35811.1+41618.5+27064.52+22862.1+11062.44+7512.3</f>
        <v>145930.96</v>
      </c>
      <c r="U58" s="789">
        <f>7512.3</f>
        <v>7512.3</v>
      </c>
      <c r="V58" s="800">
        <f>35811.1+22862.1+27064.47+41618.5</f>
        <v>127356.17</v>
      </c>
      <c r="W58" s="789">
        <f>V58+U58</f>
        <v>134868.47</v>
      </c>
      <c r="X58" s="710" t="s">
        <v>4</v>
      </c>
      <c r="Z58" s="185"/>
    </row>
    <row r="59" spans="1:27" s="129" customFormat="1" ht="51" x14ac:dyDescent="0.25">
      <c r="A59" s="689" t="s">
        <v>623</v>
      </c>
      <c r="B59" s="692" t="s">
        <v>622</v>
      </c>
      <c r="C59" s="802" t="s">
        <v>225</v>
      </c>
      <c r="D59" s="802" t="s">
        <v>225</v>
      </c>
      <c r="E59" s="802" t="s">
        <v>225</v>
      </c>
      <c r="F59" s="802" t="s">
        <v>225</v>
      </c>
      <c r="G59" s="190"/>
      <c r="H59" s="495"/>
      <c r="I59" s="188" t="s">
        <v>986</v>
      </c>
      <c r="J59" s="187" t="s">
        <v>1246</v>
      </c>
      <c r="K59" s="189" t="s">
        <v>624</v>
      </c>
      <c r="L59" s="701" t="s">
        <v>988</v>
      </c>
      <c r="M59" s="305" t="s">
        <v>982</v>
      </c>
      <c r="N59" s="188">
        <v>147505.04999999999</v>
      </c>
      <c r="O59" s="305" t="s">
        <v>641</v>
      </c>
      <c r="P59" s="396" t="s">
        <v>1261</v>
      </c>
      <c r="Q59" s="435" t="s">
        <v>977</v>
      </c>
      <c r="R59" s="435" t="s">
        <v>1260</v>
      </c>
      <c r="S59" s="793">
        <v>44905100</v>
      </c>
      <c r="T59" s="800">
        <v>88503.03</v>
      </c>
      <c r="U59" s="789">
        <v>0</v>
      </c>
      <c r="V59" s="800">
        <v>88503.03</v>
      </c>
      <c r="W59" s="789">
        <f>V59+U59</f>
        <v>88503.03</v>
      </c>
      <c r="X59" s="710" t="s">
        <v>4</v>
      </c>
      <c r="Z59" s="185"/>
    </row>
    <row r="60" spans="1:27" s="721" customFormat="1" ht="22.8" x14ac:dyDescent="0.4">
      <c r="A60" s="825"/>
      <c r="B60" s="990" t="s">
        <v>807</v>
      </c>
      <c r="C60" s="990"/>
      <c r="D60" s="990"/>
      <c r="E60" s="990"/>
      <c r="F60" s="990"/>
      <c r="G60" s="990"/>
      <c r="H60" s="990"/>
      <c r="I60" s="990"/>
      <c r="J60" s="990"/>
      <c r="K60" s="990"/>
      <c r="L60" s="803"/>
      <c r="M60" s="803"/>
      <c r="N60" s="803"/>
      <c r="O60" s="803"/>
      <c r="P60" s="790"/>
      <c r="Q60" s="790"/>
      <c r="R60" s="790"/>
      <c r="S60" s="790"/>
      <c r="T60" s="790"/>
      <c r="U60" s="786"/>
      <c r="V60" s="786"/>
      <c r="W60" s="786"/>
      <c r="X60" s="825"/>
    </row>
    <row r="61" spans="1:27" s="129" customFormat="1" ht="40.799999999999997" x14ac:dyDescent="0.25">
      <c r="A61" s="802" t="s">
        <v>642</v>
      </c>
      <c r="B61" s="696" t="s">
        <v>640</v>
      </c>
      <c r="C61" s="802" t="s">
        <v>225</v>
      </c>
      <c r="D61" s="802" t="s">
        <v>225</v>
      </c>
      <c r="E61" s="802" t="s">
        <v>225</v>
      </c>
      <c r="F61" s="802" t="s">
        <v>225</v>
      </c>
      <c r="G61" s="190"/>
      <c r="H61" s="495"/>
      <c r="I61" s="188" t="s">
        <v>941</v>
      </c>
      <c r="J61" s="187" t="s">
        <v>939</v>
      </c>
      <c r="K61" s="189" t="s">
        <v>636</v>
      </c>
      <c r="L61" s="701" t="s">
        <v>991</v>
      </c>
      <c r="M61" s="705" t="s">
        <v>984</v>
      </c>
      <c r="N61" s="705">
        <v>14046.58</v>
      </c>
      <c r="O61" s="706">
        <v>42172</v>
      </c>
      <c r="P61" s="435" t="s">
        <v>977</v>
      </c>
      <c r="Q61" s="435" t="s">
        <v>977</v>
      </c>
      <c r="R61" s="435" t="s">
        <v>977</v>
      </c>
      <c r="S61" s="793">
        <v>44905100</v>
      </c>
      <c r="T61" s="800">
        <v>8262.7099999999991</v>
      </c>
      <c r="U61" s="797">
        <v>0</v>
      </c>
      <c r="V61" s="800">
        <v>8262.7099999999991</v>
      </c>
      <c r="W61" s="797">
        <f>V61+U61</f>
        <v>8262.7099999999991</v>
      </c>
      <c r="X61" s="690" t="s">
        <v>221</v>
      </c>
      <c r="Z61" s="185"/>
    </row>
    <row r="62" spans="1:27" ht="20.399999999999999" x14ac:dyDescent="0.25">
      <c r="A62" s="799" t="s">
        <v>655</v>
      </c>
      <c r="B62" s="787" t="s">
        <v>654</v>
      </c>
      <c r="C62" s="799" t="s">
        <v>225</v>
      </c>
      <c r="D62" s="799" t="s">
        <v>225</v>
      </c>
      <c r="E62" s="799" t="s">
        <v>225</v>
      </c>
      <c r="F62" s="799" t="s">
        <v>225</v>
      </c>
      <c r="G62" s="398"/>
      <c r="H62" s="434"/>
      <c r="I62" s="397" t="s">
        <v>992</v>
      </c>
      <c r="J62" s="397" t="s">
        <v>569</v>
      </c>
      <c r="K62" s="397" t="s">
        <v>633</v>
      </c>
      <c r="L62" s="397" t="s">
        <v>993</v>
      </c>
      <c r="M62" s="397" t="s">
        <v>980</v>
      </c>
      <c r="N62" s="397" t="s">
        <v>656</v>
      </c>
      <c r="O62" s="397" t="s">
        <v>1114</v>
      </c>
      <c r="P62" s="397" t="s">
        <v>1272</v>
      </c>
      <c r="Q62" s="397" t="s">
        <v>1271</v>
      </c>
      <c r="R62" s="397" t="s">
        <v>977</v>
      </c>
      <c r="S62" s="397" t="s">
        <v>995</v>
      </c>
      <c r="T62" s="800">
        <f>34294.05+16357.88+34317.75+13140.76+1800+8270.87+4215.26</f>
        <v>112396.56999999998</v>
      </c>
      <c r="U62" s="797">
        <f>34317.75+34294.05+1800+13140.76+4215.26+8270.87</f>
        <v>96038.689999999988</v>
      </c>
      <c r="V62" s="797">
        <v>0</v>
      </c>
      <c r="W62" s="797">
        <f>V62+U62</f>
        <v>96038.689999999988</v>
      </c>
      <c r="X62" s="801" t="s">
        <v>4</v>
      </c>
      <c r="Y62" s="3"/>
      <c r="Z62" s="788"/>
      <c r="AA62" s="788"/>
    </row>
    <row r="63" spans="1:27" s="129" customFormat="1" ht="30.6" x14ac:dyDescent="0.25">
      <c r="A63" s="802" t="s">
        <v>659</v>
      </c>
      <c r="B63" s="696" t="s">
        <v>1097</v>
      </c>
      <c r="C63" s="802" t="s">
        <v>225</v>
      </c>
      <c r="D63" s="802" t="s">
        <v>225</v>
      </c>
      <c r="E63" s="802" t="s">
        <v>225</v>
      </c>
      <c r="F63" s="802" t="s">
        <v>225</v>
      </c>
      <c r="G63" s="190"/>
      <c r="H63" s="495"/>
      <c r="I63" s="188" t="s">
        <v>941</v>
      </c>
      <c r="J63" s="187" t="s">
        <v>939</v>
      </c>
      <c r="K63" s="189" t="s">
        <v>639</v>
      </c>
      <c r="L63" s="189" t="s">
        <v>994</v>
      </c>
      <c r="M63" s="189" t="s">
        <v>980</v>
      </c>
      <c r="N63" s="189" t="s">
        <v>660</v>
      </c>
      <c r="O63" s="189" t="s">
        <v>641</v>
      </c>
      <c r="P63" s="397" t="s">
        <v>980</v>
      </c>
      <c r="Q63" s="397" t="s">
        <v>1273</v>
      </c>
      <c r="R63" s="397" t="s">
        <v>977</v>
      </c>
      <c r="S63" s="397" t="s">
        <v>995</v>
      </c>
      <c r="T63" s="800">
        <f>114825.94+78324.45+74726.77+52677.57+30124.2+12372.87+15440.77+14008.02+11917.62</f>
        <v>404418.21000000008</v>
      </c>
      <c r="U63" s="797">
        <f>15440.77+12372.87+14008.02+11917.62</f>
        <v>53739.280000000006</v>
      </c>
      <c r="V63" s="800">
        <f>78324.45+74726.77+30124.2+52677.57</f>
        <v>235852.99000000002</v>
      </c>
      <c r="W63" s="797">
        <f>V63+U63</f>
        <v>289592.27</v>
      </c>
      <c r="X63" s="824" t="s">
        <v>4</v>
      </c>
      <c r="Z63" s="185"/>
    </row>
    <row r="64" spans="1:27" s="129" customFormat="1" ht="30.6" x14ac:dyDescent="0.25">
      <c r="A64" s="802" t="s">
        <v>667</v>
      </c>
      <c r="B64" s="696" t="s">
        <v>666</v>
      </c>
      <c r="C64" s="802" t="s">
        <v>225</v>
      </c>
      <c r="D64" s="802" t="s">
        <v>225</v>
      </c>
      <c r="E64" s="802" t="s">
        <v>225</v>
      </c>
      <c r="F64" s="802" t="s">
        <v>225</v>
      </c>
      <c r="G64" s="190"/>
      <c r="H64" s="495"/>
      <c r="I64" s="188" t="s">
        <v>926</v>
      </c>
      <c r="J64" s="187" t="s">
        <v>549</v>
      </c>
      <c r="K64" s="189" t="s">
        <v>648</v>
      </c>
      <c r="L64" s="189" t="s">
        <v>999</v>
      </c>
      <c r="M64" s="705" t="s">
        <v>976</v>
      </c>
      <c r="N64" s="705">
        <v>343478.55</v>
      </c>
      <c r="O64" s="189" t="s">
        <v>641</v>
      </c>
      <c r="P64" s="396" t="s">
        <v>1270</v>
      </c>
      <c r="Q64" s="397" t="s">
        <v>1276</v>
      </c>
      <c r="R64" s="397" t="s">
        <v>977</v>
      </c>
      <c r="S64" s="397" t="s">
        <v>995</v>
      </c>
      <c r="T64" s="800">
        <f>62248.1+30645.21+41181.32+102749.38+10394.96+7923.55+30140.08+21149.63+37046.32+15457+45079.23</f>
        <v>404014.77999999997</v>
      </c>
      <c r="U64" s="797">
        <f>21149.63+37046.32+15457+25000</f>
        <v>98652.95</v>
      </c>
      <c r="V64" s="800">
        <f>10394.96+11374.69+11374.69+7923.55+30140.08+62248.1+30645.21+41181.32+80000</f>
        <v>285282.59999999998</v>
      </c>
      <c r="W64" s="797">
        <f>V64+U64</f>
        <v>383935.55</v>
      </c>
      <c r="X64" s="824" t="s">
        <v>4</v>
      </c>
      <c r="Y64" s="427"/>
      <c r="Z64" s="805"/>
      <c r="AA64" s="427"/>
    </row>
    <row r="65" spans="1:26" s="129" customFormat="1" ht="30.6" x14ac:dyDescent="0.25">
      <c r="A65" s="802" t="s">
        <v>675</v>
      </c>
      <c r="B65" s="696" t="s">
        <v>674</v>
      </c>
      <c r="C65" s="802" t="s">
        <v>225</v>
      </c>
      <c r="D65" s="802" t="s">
        <v>225</v>
      </c>
      <c r="E65" s="802" t="s">
        <v>225</v>
      </c>
      <c r="F65" s="802" t="s">
        <v>225</v>
      </c>
      <c r="G65" s="190"/>
      <c r="H65" s="495"/>
      <c r="I65" s="189" t="s">
        <v>1000</v>
      </c>
      <c r="J65" s="189" t="s">
        <v>554</v>
      </c>
      <c r="K65" s="187" t="s">
        <v>684</v>
      </c>
      <c r="L65" s="189" t="s">
        <v>1001</v>
      </c>
      <c r="M65" s="189" t="s">
        <v>1002</v>
      </c>
      <c r="N65" s="189" t="s">
        <v>794</v>
      </c>
      <c r="O65" s="189" t="s">
        <v>598</v>
      </c>
      <c r="P65" s="397" t="s">
        <v>598</v>
      </c>
      <c r="Q65" s="397" t="s">
        <v>598</v>
      </c>
      <c r="R65" s="397" t="s">
        <v>598</v>
      </c>
      <c r="S65" s="397" t="s">
        <v>598</v>
      </c>
      <c r="T65" s="397" t="s">
        <v>598</v>
      </c>
      <c r="U65" s="397" t="s">
        <v>598</v>
      </c>
      <c r="V65" s="397" t="s">
        <v>598</v>
      </c>
      <c r="W65" s="397" t="s">
        <v>598</v>
      </c>
      <c r="X65" s="689" t="s">
        <v>598</v>
      </c>
      <c r="Z65" s="185"/>
    </row>
    <row r="66" spans="1:26" s="129" customFormat="1" ht="20.399999999999999" x14ac:dyDescent="0.25">
      <c r="A66" s="802" t="s">
        <v>678</v>
      </c>
      <c r="B66" s="696" t="s">
        <v>677</v>
      </c>
      <c r="C66" s="802" t="s">
        <v>225</v>
      </c>
      <c r="D66" s="802" t="s">
        <v>225</v>
      </c>
      <c r="E66" s="802" t="s">
        <v>225</v>
      </c>
      <c r="F66" s="802" t="s">
        <v>225</v>
      </c>
      <c r="G66" s="190"/>
      <c r="H66" s="495"/>
      <c r="I66" s="188" t="s">
        <v>926</v>
      </c>
      <c r="J66" s="187" t="s">
        <v>549</v>
      </c>
      <c r="K66" s="187" t="s">
        <v>657</v>
      </c>
      <c r="L66" s="189" t="s">
        <v>1029</v>
      </c>
      <c r="M66" s="189" t="s">
        <v>976</v>
      </c>
      <c r="N66" s="189" t="s">
        <v>679</v>
      </c>
      <c r="O66" s="189" t="s">
        <v>598</v>
      </c>
      <c r="P66" s="397" t="s">
        <v>598</v>
      </c>
      <c r="Q66" s="397" t="s">
        <v>598</v>
      </c>
      <c r="R66" s="397" t="s">
        <v>598</v>
      </c>
      <c r="S66" s="397" t="s">
        <v>598</v>
      </c>
      <c r="T66" s="397" t="s">
        <v>598</v>
      </c>
      <c r="U66" s="397" t="s">
        <v>598</v>
      </c>
      <c r="V66" s="397" t="s">
        <v>598</v>
      </c>
      <c r="W66" s="397" t="s">
        <v>598</v>
      </c>
      <c r="X66" s="689" t="s">
        <v>598</v>
      </c>
      <c r="Z66" s="185"/>
    </row>
    <row r="67" spans="1:26" ht="69.75" customHeight="1" x14ac:dyDescent="0.25">
      <c r="A67" s="799" t="s">
        <v>686</v>
      </c>
      <c r="B67" s="787" t="s">
        <v>685</v>
      </c>
      <c r="C67" s="799" t="s">
        <v>225</v>
      </c>
      <c r="D67" s="799" t="s">
        <v>225</v>
      </c>
      <c r="E67" s="799" t="s">
        <v>225</v>
      </c>
      <c r="F67" s="799" t="s">
        <v>225</v>
      </c>
      <c r="G67" s="398"/>
      <c r="H67" s="434"/>
      <c r="I67" s="396" t="s">
        <v>941</v>
      </c>
      <c r="J67" s="791" t="s">
        <v>939</v>
      </c>
      <c r="K67" s="397" t="s">
        <v>665</v>
      </c>
      <c r="L67" s="397" t="s">
        <v>1003</v>
      </c>
      <c r="M67" s="722" t="s">
        <v>1002</v>
      </c>
      <c r="N67" s="397" t="s">
        <v>687</v>
      </c>
      <c r="O67" s="791" t="s">
        <v>641</v>
      </c>
      <c r="P67" s="722" t="s">
        <v>1002</v>
      </c>
      <c r="Q67" s="791" t="s">
        <v>1262</v>
      </c>
      <c r="R67" s="722" t="s">
        <v>977</v>
      </c>
      <c r="S67" s="397" t="s">
        <v>995</v>
      </c>
      <c r="T67" s="800">
        <f>118216.46+56765.88+18825.68+23422.21+152091.76+101196.54+15565.34+25411.7+23622.38+18232.2+27937.72+44865.61+78100.55+27040.89+46931.39+37345.73+32129.03</f>
        <v>847701.07</v>
      </c>
      <c r="U67" s="797">
        <f>10000+8232.2+27937.72+44865.61+78100.55+27040.89</f>
        <v>196176.97000000003</v>
      </c>
      <c r="V67" s="800">
        <f>23622.38+25411.7+15565.34+56765.88+118216.46+18825.68+20161.87+101196.54+152091.76</f>
        <v>531857.61</v>
      </c>
      <c r="W67" s="797">
        <f>V67+U67</f>
        <v>728034.58000000007</v>
      </c>
      <c r="X67" s="801" t="s">
        <v>4</v>
      </c>
      <c r="Y67" s="3"/>
      <c r="Z67" s="788"/>
    </row>
    <row r="68" spans="1:26" s="129" customFormat="1" ht="30.6" x14ac:dyDescent="0.25">
      <c r="A68" s="802" t="s">
        <v>693</v>
      </c>
      <c r="B68" s="696" t="s">
        <v>692</v>
      </c>
      <c r="C68" s="802" t="s">
        <v>225</v>
      </c>
      <c r="D68" s="802" t="s">
        <v>225</v>
      </c>
      <c r="E68" s="802" t="s">
        <v>225</v>
      </c>
      <c r="F68" s="802" t="s">
        <v>225</v>
      </c>
      <c r="G68" s="190"/>
      <c r="H68" s="495"/>
      <c r="I68" s="188" t="s">
        <v>941</v>
      </c>
      <c r="J68" s="187" t="s">
        <v>939</v>
      </c>
      <c r="K68" s="189" t="s">
        <v>669</v>
      </c>
      <c r="L68" s="189" t="s">
        <v>1003</v>
      </c>
      <c r="M68" s="705" t="s">
        <v>976</v>
      </c>
      <c r="N68" s="189" t="s">
        <v>694</v>
      </c>
      <c r="O68" s="705" t="s">
        <v>641</v>
      </c>
      <c r="P68" s="396" t="s">
        <v>1115</v>
      </c>
      <c r="Q68" s="791" t="s">
        <v>1263</v>
      </c>
      <c r="R68" s="722" t="s">
        <v>977</v>
      </c>
      <c r="S68" s="397" t="s">
        <v>995</v>
      </c>
      <c r="T68" s="800">
        <f>7335.76+26268.37+75954.76+25115.46+25753.07+7941.7+14614.33</f>
        <v>182983.44999999998</v>
      </c>
      <c r="U68" s="797">
        <v>0</v>
      </c>
      <c r="V68" s="800">
        <f>26268.37+75954.76+7941.7+25115.46+25753.07+14614.33+7335.76</f>
        <v>182983.44999999998</v>
      </c>
      <c r="W68" s="797">
        <f>V68+U68</f>
        <v>182983.44999999998</v>
      </c>
      <c r="X68" s="824" t="s">
        <v>4</v>
      </c>
      <c r="Z68" s="185"/>
    </row>
    <row r="69" spans="1:26" s="129" customFormat="1" ht="30.6" x14ac:dyDescent="0.25">
      <c r="A69" s="802" t="s">
        <v>1264</v>
      </c>
      <c r="B69" s="696" t="s">
        <v>699</v>
      </c>
      <c r="C69" s="802" t="s">
        <v>225</v>
      </c>
      <c r="D69" s="802" t="s">
        <v>225</v>
      </c>
      <c r="E69" s="802" t="s">
        <v>225</v>
      </c>
      <c r="F69" s="802" t="s">
        <v>225</v>
      </c>
      <c r="G69" s="190"/>
      <c r="H69" s="495"/>
      <c r="I69" s="187" t="s">
        <v>671</v>
      </c>
      <c r="J69" s="187" t="s">
        <v>671</v>
      </c>
      <c r="K69" s="187" t="s">
        <v>671</v>
      </c>
      <c r="L69" s="187" t="s">
        <v>671</v>
      </c>
      <c r="M69" s="187" t="s">
        <v>671</v>
      </c>
      <c r="N69" s="187" t="s">
        <v>671</v>
      </c>
      <c r="O69" s="187" t="s">
        <v>671</v>
      </c>
      <c r="P69" s="791" t="s">
        <v>671</v>
      </c>
      <c r="Q69" s="791" t="s">
        <v>671</v>
      </c>
      <c r="R69" s="791" t="s">
        <v>671</v>
      </c>
      <c r="S69" s="791" t="s">
        <v>671</v>
      </c>
      <c r="T69" s="791" t="s">
        <v>671</v>
      </c>
      <c r="U69" s="791" t="s">
        <v>671</v>
      </c>
      <c r="V69" s="791" t="s">
        <v>671</v>
      </c>
      <c r="W69" s="791" t="s">
        <v>671</v>
      </c>
      <c r="X69" s="710" t="s">
        <v>671</v>
      </c>
      <c r="Z69" s="185"/>
    </row>
    <row r="70" spans="1:26" s="129" customFormat="1" ht="30.6" x14ac:dyDescent="0.25">
      <c r="A70" s="802" t="s">
        <v>704</v>
      </c>
      <c r="B70" s="696" t="s">
        <v>703</v>
      </c>
      <c r="C70" s="802" t="s">
        <v>225</v>
      </c>
      <c r="D70" s="802" t="s">
        <v>225</v>
      </c>
      <c r="E70" s="802" t="s">
        <v>225</v>
      </c>
      <c r="F70" s="802" t="s">
        <v>225</v>
      </c>
      <c r="G70" s="190"/>
      <c r="H70" s="495"/>
      <c r="I70" s="705" t="s">
        <v>1006</v>
      </c>
      <c r="J70" s="187" t="s">
        <v>1007</v>
      </c>
      <c r="K70" s="189" t="s">
        <v>673</v>
      </c>
      <c r="L70" s="189" t="s">
        <v>1008</v>
      </c>
      <c r="M70" s="705" t="s">
        <v>976</v>
      </c>
      <c r="N70" s="705">
        <v>67408.289999999994</v>
      </c>
      <c r="O70" s="705" t="s">
        <v>641</v>
      </c>
      <c r="P70" s="820" t="s">
        <v>1265</v>
      </c>
      <c r="Q70" s="722" t="s">
        <v>977</v>
      </c>
      <c r="R70" s="722" t="s">
        <v>977</v>
      </c>
      <c r="S70" s="397" t="s">
        <v>995</v>
      </c>
      <c r="T70" s="800">
        <f>16650.02+18923.19+25680.44+6463.11+7938.39</f>
        <v>75655.149999999994</v>
      </c>
      <c r="U70" s="800">
        <f>25680.44+6463.11+7938.39</f>
        <v>40081.94</v>
      </c>
      <c r="V70" s="800">
        <f>16650.02+7179.26</f>
        <v>23829.279999999999</v>
      </c>
      <c r="W70" s="797">
        <f>V70+U70</f>
        <v>63911.22</v>
      </c>
      <c r="X70" s="824" t="s">
        <v>4</v>
      </c>
      <c r="Z70" s="185"/>
    </row>
    <row r="71" spans="1:26" s="721" customFormat="1" ht="22.8" x14ac:dyDescent="0.4">
      <c r="A71" s="825"/>
      <c r="B71" s="990" t="s">
        <v>808</v>
      </c>
      <c r="C71" s="990"/>
      <c r="D71" s="990"/>
      <c r="E71" s="990"/>
      <c r="F71" s="990"/>
      <c r="G71" s="990"/>
      <c r="H71" s="990"/>
      <c r="I71" s="990"/>
      <c r="J71" s="990"/>
      <c r="K71" s="990"/>
      <c r="L71" s="803"/>
      <c r="M71" s="803"/>
      <c r="N71" s="803"/>
      <c r="O71" s="803"/>
      <c r="P71" s="790"/>
      <c r="Q71" s="790"/>
      <c r="R71" s="790"/>
      <c r="S71" s="790"/>
      <c r="T71" s="790"/>
      <c r="U71" s="786"/>
      <c r="V71" s="786"/>
      <c r="W71" s="786"/>
      <c r="X71" s="825"/>
    </row>
    <row r="72" spans="1:26" s="129" customFormat="1" ht="85.5" customHeight="1" x14ac:dyDescent="0.25">
      <c r="A72" s="802" t="s">
        <v>726</v>
      </c>
      <c r="B72" s="696" t="s">
        <v>725</v>
      </c>
      <c r="C72" s="802" t="s">
        <v>225</v>
      </c>
      <c r="D72" s="802" t="s">
        <v>225</v>
      </c>
      <c r="E72" s="802" t="s">
        <v>225</v>
      </c>
      <c r="F72" s="802" t="s">
        <v>225</v>
      </c>
      <c r="G72" s="190"/>
      <c r="H72" s="495"/>
      <c r="I72" s="188" t="s">
        <v>941</v>
      </c>
      <c r="J72" s="187" t="s">
        <v>939</v>
      </c>
      <c r="K72" s="495" t="s">
        <v>727</v>
      </c>
      <c r="L72" s="189" t="s">
        <v>1016</v>
      </c>
      <c r="M72" s="705" t="s">
        <v>980</v>
      </c>
      <c r="N72" s="705">
        <v>1013999.14</v>
      </c>
      <c r="O72" s="706" t="s">
        <v>641</v>
      </c>
      <c r="P72" s="722" t="s">
        <v>1266</v>
      </c>
      <c r="Q72" s="791" t="s">
        <v>1366</v>
      </c>
      <c r="R72" s="722" t="s">
        <v>977</v>
      </c>
      <c r="S72" s="397" t="s">
        <v>995</v>
      </c>
      <c r="T72" s="800">
        <f>35903.16+59767.85+30479.14+26666.82+78646.29+10317.31+18084.85+49718.93+43141.52+56429.23+11831.8+28881.33+53092.24+35921.51+12379.7+49136.17+20771.78+8462.64</f>
        <v>629632.27</v>
      </c>
      <c r="U72" s="797">
        <f>25281.07+49718.93+56429.23+11831.8+28881.33+53092.24+35921.51</f>
        <v>261156.11</v>
      </c>
      <c r="V72" s="800">
        <f>59767.85+30479.14+26666.82+33000+45646.29+10317.31+18084.85+35903.16</f>
        <v>259865.42</v>
      </c>
      <c r="W72" s="797">
        <f>V72+U72</f>
        <v>521021.53</v>
      </c>
      <c r="X72" s="824" t="s">
        <v>4</v>
      </c>
      <c r="Z72" s="185"/>
    </row>
    <row r="73" spans="1:26" s="129" customFormat="1" ht="20.399999999999999" x14ac:dyDescent="0.25">
      <c r="A73" s="840" t="s">
        <v>733</v>
      </c>
      <c r="B73" s="696" t="s">
        <v>732</v>
      </c>
      <c r="C73" s="802" t="s">
        <v>225</v>
      </c>
      <c r="D73" s="802" t="s">
        <v>225</v>
      </c>
      <c r="E73" s="802" t="s">
        <v>225</v>
      </c>
      <c r="F73" s="802" t="s">
        <v>225</v>
      </c>
      <c r="G73" s="190"/>
      <c r="H73" s="495"/>
      <c r="I73" s="189" t="s">
        <v>1000</v>
      </c>
      <c r="J73" s="189" t="s">
        <v>554</v>
      </c>
      <c r="K73" s="187" t="s">
        <v>782</v>
      </c>
      <c r="L73" s="187">
        <v>42347</v>
      </c>
      <c r="M73" s="187" t="s">
        <v>1017</v>
      </c>
      <c r="N73" s="705">
        <v>1049959.68</v>
      </c>
      <c r="O73" s="706" t="s">
        <v>641</v>
      </c>
      <c r="P73" s="722" t="s">
        <v>977</v>
      </c>
      <c r="Q73" s="722" t="s">
        <v>977</v>
      </c>
      <c r="R73" s="722" t="s">
        <v>977</v>
      </c>
      <c r="S73" s="397" t="s">
        <v>995</v>
      </c>
      <c r="T73" s="800">
        <f>30929.2+93445.04+79338.66+35522.69</f>
        <v>239235.59</v>
      </c>
      <c r="U73" s="797">
        <f>30929.2+22000+38000+11000</f>
        <v>101929.2</v>
      </c>
      <c r="V73" s="797">
        <v>0</v>
      </c>
      <c r="W73" s="797">
        <f>U73+V73</f>
        <v>101929.2</v>
      </c>
      <c r="X73" s="824" t="s">
        <v>4</v>
      </c>
      <c r="Z73" s="185"/>
    </row>
    <row r="74" spans="1:26" ht="67.5" customHeight="1" x14ac:dyDescent="0.25">
      <c r="A74" s="799" t="s">
        <v>739</v>
      </c>
      <c r="B74" s="787" t="s">
        <v>738</v>
      </c>
      <c r="C74" s="799" t="s">
        <v>1095</v>
      </c>
      <c r="D74" s="799" t="s">
        <v>1021</v>
      </c>
      <c r="E74" s="800">
        <v>420245.51</v>
      </c>
      <c r="F74" s="797">
        <v>0</v>
      </c>
      <c r="G74" s="398"/>
      <c r="H74" s="434"/>
      <c r="I74" s="722" t="s">
        <v>1018</v>
      </c>
      <c r="J74" s="791" t="s">
        <v>1019</v>
      </c>
      <c r="K74" s="434" t="s">
        <v>740</v>
      </c>
      <c r="L74" s="397" t="s">
        <v>1020</v>
      </c>
      <c r="M74" s="722" t="s">
        <v>976</v>
      </c>
      <c r="N74" s="722">
        <v>418517.68</v>
      </c>
      <c r="O74" s="817" t="s">
        <v>641</v>
      </c>
      <c r="P74" s="722" t="s">
        <v>976</v>
      </c>
      <c r="Q74" s="722" t="s">
        <v>977</v>
      </c>
      <c r="R74" s="722" t="s">
        <v>977</v>
      </c>
      <c r="S74" s="397" t="s">
        <v>995</v>
      </c>
      <c r="T74" s="800">
        <f>22053.57+21581.86</f>
        <v>43635.43</v>
      </c>
      <c r="U74" s="797">
        <f>22053.57+16003.48</f>
        <v>38057.050000000003</v>
      </c>
      <c r="V74" s="800">
        <v>0</v>
      </c>
      <c r="W74" s="797">
        <f>U74+V74</f>
        <v>38057.050000000003</v>
      </c>
      <c r="X74" s="801" t="s">
        <v>4</v>
      </c>
      <c r="Y74" s="3"/>
      <c r="Z74" s="788"/>
    </row>
    <row r="75" spans="1:26" s="129" customFormat="1" ht="30.6" x14ac:dyDescent="0.25">
      <c r="A75" s="802" t="s">
        <v>742</v>
      </c>
      <c r="B75" s="696" t="s">
        <v>741</v>
      </c>
      <c r="C75" s="802" t="s">
        <v>225</v>
      </c>
      <c r="D75" s="802" t="s">
        <v>225</v>
      </c>
      <c r="E75" s="802" t="s">
        <v>225</v>
      </c>
      <c r="F75" s="802" t="s">
        <v>225</v>
      </c>
      <c r="G75" s="190"/>
      <c r="H75" s="495"/>
      <c r="I75" s="705" t="s">
        <v>1013</v>
      </c>
      <c r="J75" s="187" t="s">
        <v>1014</v>
      </c>
      <c r="K75" s="495" t="s">
        <v>712</v>
      </c>
      <c r="L75" s="189" t="s">
        <v>1022</v>
      </c>
      <c r="M75" s="705" t="s">
        <v>990</v>
      </c>
      <c r="N75" s="705">
        <v>147101.94</v>
      </c>
      <c r="O75" s="706" t="s">
        <v>641</v>
      </c>
      <c r="P75" s="722" t="s">
        <v>990</v>
      </c>
      <c r="Q75" s="722">
        <v>36670.82</v>
      </c>
      <c r="R75" s="722" t="s">
        <v>977</v>
      </c>
      <c r="S75" s="397" t="s">
        <v>995</v>
      </c>
      <c r="T75" s="800">
        <f>14940.48+21941.96+30628.78+79021.71+16237.03+15794.64</f>
        <v>178564.59999999998</v>
      </c>
      <c r="U75" s="797">
        <f>16237.03</f>
        <v>16237.03</v>
      </c>
      <c r="V75" s="800">
        <f>14940.48+21941.96+30628.78+79021.71</f>
        <v>146532.93</v>
      </c>
      <c r="W75" s="797">
        <f>V75+U75</f>
        <v>162769.96</v>
      </c>
      <c r="X75" s="824" t="s">
        <v>4</v>
      </c>
      <c r="Z75" s="185"/>
    </row>
    <row r="76" spans="1:26" s="129" customFormat="1" ht="20.399999999999999" x14ac:dyDescent="0.25">
      <c r="A76" s="802" t="s">
        <v>747</v>
      </c>
      <c r="B76" s="696" t="s">
        <v>746</v>
      </c>
      <c r="C76" s="802" t="s">
        <v>225</v>
      </c>
      <c r="D76" s="802" t="s">
        <v>225</v>
      </c>
      <c r="E76" s="802" t="s">
        <v>225</v>
      </c>
      <c r="F76" s="802" t="s">
        <v>225</v>
      </c>
      <c r="G76" s="190"/>
      <c r="H76" s="495"/>
      <c r="I76" s="187" t="s">
        <v>798</v>
      </c>
      <c r="J76" s="187" t="s">
        <v>798</v>
      </c>
      <c r="K76" s="187" t="s">
        <v>798</v>
      </c>
      <c r="L76" s="187" t="s">
        <v>798</v>
      </c>
      <c r="M76" s="187" t="s">
        <v>798</v>
      </c>
      <c r="N76" s="187" t="s">
        <v>798</v>
      </c>
      <c r="O76" s="187" t="s">
        <v>798</v>
      </c>
      <c r="P76" s="791" t="s">
        <v>798</v>
      </c>
      <c r="Q76" s="791" t="s">
        <v>798</v>
      </c>
      <c r="R76" s="791" t="s">
        <v>798</v>
      </c>
      <c r="S76" s="791" t="s">
        <v>798</v>
      </c>
      <c r="T76" s="791" t="s">
        <v>798</v>
      </c>
      <c r="U76" s="791" t="s">
        <v>798</v>
      </c>
      <c r="V76" s="791" t="s">
        <v>798</v>
      </c>
      <c r="W76" s="791" t="s">
        <v>798</v>
      </c>
      <c r="X76" s="710" t="s">
        <v>798</v>
      </c>
      <c r="Z76" s="185"/>
    </row>
    <row r="77" spans="1:26" ht="30.6" x14ac:dyDescent="0.25">
      <c r="A77" s="799" t="s">
        <v>765</v>
      </c>
      <c r="B77" s="787" t="s">
        <v>764</v>
      </c>
      <c r="C77" s="799" t="s">
        <v>225</v>
      </c>
      <c r="D77" s="799" t="s">
        <v>225</v>
      </c>
      <c r="E77" s="799" t="s">
        <v>225</v>
      </c>
      <c r="F77" s="799" t="s">
        <v>225</v>
      </c>
      <c r="G77" s="398"/>
      <c r="H77" s="434"/>
      <c r="I77" s="397" t="s">
        <v>992</v>
      </c>
      <c r="J77" s="397" t="s">
        <v>569</v>
      </c>
      <c r="K77" s="791" t="s">
        <v>775</v>
      </c>
      <c r="L77" s="397" t="s">
        <v>1024</v>
      </c>
      <c r="M77" s="722" t="s">
        <v>990</v>
      </c>
      <c r="N77" s="722">
        <v>131363.99</v>
      </c>
      <c r="O77" s="722" t="s">
        <v>641</v>
      </c>
      <c r="P77" s="722" t="s">
        <v>990</v>
      </c>
      <c r="Q77" s="722">
        <v>13745.41</v>
      </c>
      <c r="R77" s="722" t="s">
        <v>977</v>
      </c>
      <c r="S77" s="397" t="s">
        <v>995</v>
      </c>
      <c r="T77" s="800">
        <f>8482.58+12586.74+17886.69+15101.39+13745.41+77208.13+18080.42</f>
        <v>163091.35999999999</v>
      </c>
      <c r="U77" s="800">
        <f>12586.74+17886.69+15101.39+13745.41</f>
        <v>59320.229999999996</v>
      </c>
      <c r="V77" s="800">
        <f>8482.58</f>
        <v>8482.58</v>
      </c>
      <c r="W77" s="797">
        <f>V77+U77</f>
        <v>67802.81</v>
      </c>
      <c r="X77" s="801" t="s">
        <v>4</v>
      </c>
      <c r="Y77" s="3"/>
      <c r="Z77" s="788"/>
    </row>
    <row r="78" spans="1:26" s="721" customFormat="1" ht="22.8" x14ac:dyDescent="0.4">
      <c r="A78" s="825"/>
      <c r="B78" s="990" t="s">
        <v>812</v>
      </c>
      <c r="C78" s="990"/>
      <c r="D78" s="990"/>
      <c r="E78" s="990"/>
      <c r="F78" s="990"/>
      <c r="G78" s="990"/>
      <c r="H78" s="990"/>
      <c r="I78" s="990"/>
      <c r="J78" s="990"/>
      <c r="K78" s="990"/>
      <c r="L78" s="803"/>
      <c r="M78" s="803"/>
      <c r="N78" s="803"/>
      <c r="O78" s="803"/>
      <c r="P78" s="790"/>
      <c r="Q78" s="790"/>
      <c r="R78" s="790"/>
      <c r="S78" s="790"/>
      <c r="T78" s="790"/>
      <c r="U78" s="786"/>
      <c r="V78" s="786"/>
      <c r="W78" s="786"/>
      <c r="X78" s="825"/>
    </row>
    <row r="79" spans="1:26" s="129" customFormat="1" ht="30.6" x14ac:dyDescent="0.25">
      <c r="A79" s="802" t="s">
        <v>827</v>
      </c>
      <c r="B79" s="696" t="s">
        <v>826</v>
      </c>
      <c r="C79" s="802" t="s">
        <v>225</v>
      </c>
      <c r="D79" s="802" t="s">
        <v>225</v>
      </c>
      <c r="E79" s="802" t="s">
        <v>225</v>
      </c>
      <c r="F79" s="802" t="s">
        <v>225</v>
      </c>
      <c r="G79" s="190"/>
      <c r="H79" s="495"/>
      <c r="I79" s="705" t="s">
        <v>1025</v>
      </c>
      <c r="J79" s="187" t="s">
        <v>1027</v>
      </c>
      <c r="K79" s="189" t="s">
        <v>1249</v>
      </c>
      <c r="L79" s="189" t="s">
        <v>1250</v>
      </c>
      <c r="M79" s="189" t="s">
        <v>1267</v>
      </c>
      <c r="N79" s="189" t="s">
        <v>1251</v>
      </c>
      <c r="O79" s="397" t="s">
        <v>1026</v>
      </c>
      <c r="P79" s="397" t="s">
        <v>977</v>
      </c>
      <c r="Q79" s="397" t="s">
        <v>977</v>
      </c>
      <c r="R79" s="397" t="s">
        <v>977</v>
      </c>
      <c r="S79" s="397" t="s">
        <v>995</v>
      </c>
      <c r="T79" s="800">
        <f>27123.84+47333.76+34569.6+33240</f>
        <v>142267.20000000001</v>
      </c>
      <c r="U79" s="800">
        <f>27123.84+30000+17333.76</f>
        <v>74457.599999999991</v>
      </c>
      <c r="V79" s="797">
        <v>0</v>
      </c>
      <c r="W79" s="797">
        <f>U79</f>
        <v>74457.599999999991</v>
      </c>
      <c r="X79" s="689" t="s">
        <v>4</v>
      </c>
      <c r="Z79" s="185"/>
    </row>
    <row r="80" spans="1:26" s="129" customFormat="1" ht="30.6" x14ac:dyDescent="0.25">
      <c r="A80" s="802" t="s">
        <v>829</v>
      </c>
      <c r="B80" s="696" t="s">
        <v>625</v>
      </c>
      <c r="C80" s="802" t="s">
        <v>225</v>
      </c>
      <c r="D80" s="802" t="s">
        <v>225</v>
      </c>
      <c r="E80" s="802" t="s">
        <v>225</v>
      </c>
      <c r="F80" s="802" t="s">
        <v>225</v>
      </c>
      <c r="G80" s="190"/>
      <c r="H80" s="495"/>
      <c r="I80" s="188" t="s">
        <v>941</v>
      </c>
      <c r="J80" s="187" t="s">
        <v>939</v>
      </c>
      <c r="K80" s="495" t="s">
        <v>756</v>
      </c>
      <c r="L80" s="187">
        <v>42361</v>
      </c>
      <c r="M80" s="187" t="s">
        <v>990</v>
      </c>
      <c r="N80" s="705">
        <v>195424.35</v>
      </c>
      <c r="O80" s="187" t="s">
        <v>1026</v>
      </c>
      <c r="P80" s="722" t="s">
        <v>977</v>
      </c>
      <c r="Q80" s="797">
        <v>48757.5</v>
      </c>
      <c r="R80" s="722" t="s">
        <v>977</v>
      </c>
      <c r="S80" s="397" t="s">
        <v>995</v>
      </c>
      <c r="T80" s="800">
        <f>45165.2+32103.18+60585.98+51289.18+48757.5</f>
        <v>237901.04</v>
      </c>
      <c r="U80" s="797">
        <f>40000+38383.44+60585.98</f>
        <v>138969.42000000001</v>
      </c>
      <c r="V80" s="797">
        <v>0</v>
      </c>
      <c r="W80" s="797">
        <f>U80</f>
        <v>138969.42000000001</v>
      </c>
      <c r="X80" s="824" t="s">
        <v>4</v>
      </c>
      <c r="Z80" s="185"/>
    </row>
    <row r="81" spans="1:31" s="129" customFormat="1" ht="20.399999999999999" x14ac:dyDescent="0.25">
      <c r="A81" s="802" t="s">
        <v>833</v>
      </c>
      <c r="B81" s="696" t="s">
        <v>832</v>
      </c>
      <c r="C81" s="802" t="s">
        <v>225</v>
      </c>
      <c r="D81" s="802" t="s">
        <v>225</v>
      </c>
      <c r="E81" s="802" t="s">
        <v>225</v>
      </c>
      <c r="F81" s="802" t="s">
        <v>225</v>
      </c>
      <c r="G81" s="190"/>
      <c r="H81" s="495"/>
      <c r="I81" s="188" t="s">
        <v>941</v>
      </c>
      <c r="J81" s="187" t="s">
        <v>939</v>
      </c>
      <c r="K81" s="495" t="s">
        <v>777</v>
      </c>
      <c r="L81" s="187">
        <v>42328</v>
      </c>
      <c r="M81" s="705" t="s">
        <v>976</v>
      </c>
      <c r="N81" s="705">
        <v>46832.160000000003</v>
      </c>
      <c r="O81" s="187"/>
      <c r="P81" s="791"/>
      <c r="Q81" s="791"/>
      <c r="R81" s="791"/>
      <c r="S81" s="791"/>
      <c r="T81" s="800">
        <f>27209.6+19622.56</f>
        <v>46832.160000000003</v>
      </c>
      <c r="U81" s="797">
        <f>27209.6</f>
        <v>27209.599999999999</v>
      </c>
      <c r="V81" s="797">
        <v>0</v>
      </c>
      <c r="W81" s="797">
        <f>U81</f>
        <v>27209.599999999999</v>
      </c>
      <c r="X81" s="710" t="s">
        <v>1028</v>
      </c>
      <c r="Z81" s="185"/>
    </row>
    <row r="82" spans="1:31" s="129" customFormat="1" ht="30.6" x14ac:dyDescent="0.25">
      <c r="A82" s="802" t="s">
        <v>835</v>
      </c>
      <c r="B82" s="696" t="s">
        <v>834</v>
      </c>
      <c r="C82" s="802" t="s">
        <v>225</v>
      </c>
      <c r="D82" s="802" t="s">
        <v>225</v>
      </c>
      <c r="E82" s="802" t="s">
        <v>225</v>
      </c>
      <c r="F82" s="802" t="s">
        <v>225</v>
      </c>
      <c r="G82" s="190"/>
      <c r="H82" s="495"/>
      <c r="I82" s="705" t="s">
        <v>1025</v>
      </c>
      <c r="J82" s="187" t="s">
        <v>1027</v>
      </c>
      <c r="K82" s="495" t="s">
        <v>778</v>
      </c>
      <c r="L82" s="187">
        <v>42331</v>
      </c>
      <c r="M82" s="705" t="s">
        <v>976</v>
      </c>
      <c r="N82" s="705">
        <v>24396.49</v>
      </c>
      <c r="O82" s="187" t="s">
        <v>1028</v>
      </c>
      <c r="P82" s="791" t="s">
        <v>1028</v>
      </c>
      <c r="Q82" s="791" t="s">
        <v>1028</v>
      </c>
      <c r="R82" s="791" t="s">
        <v>1028</v>
      </c>
      <c r="S82" s="791" t="s">
        <v>1028</v>
      </c>
      <c r="T82" s="791" t="s">
        <v>1028</v>
      </c>
      <c r="U82" s="791" t="s">
        <v>1028</v>
      </c>
      <c r="V82" s="791" t="s">
        <v>1028</v>
      </c>
      <c r="W82" s="791" t="s">
        <v>1028</v>
      </c>
      <c r="X82" s="710" t="s">
        <v>1028</v>
      </c>
      <c r="Z82" s="185"/>
    </row>
    <row r="83" spans="1:31" s="129" customFormat="1" ht="40.799999999999997" x14ac:dyDescent="0.25">
      <c r="A83" s="802" t="s">
        <v>841</v>
      </c>
      <c r="B83" s="696" t="s">
        <v>840</v>
      </c>
      <c r="C83" s="802" t="s">
        <v>225</v>
      </c>
      <c r="D83" s="802" t="s">
        <v>225</v>
      </c>
      <c r="E83" s="802" t="s">
        <v>225</v>
      </c>
      <c r="F83" s="802" t="s">
        <v>225</v>
      </c>
      <c r="G83" s="190"/>
      <c r="H83" s="495"/>
      <c r="I83" s="705" t="s">
        <v>1013</v>
      </c>
      <c r="J83" s="187" t="s">
        <v>1014</v>
      </c>
      <c r="K83" s="495" t="s">
        <v>780</v>
      </c>
      <c r="L83" s="187">
        <v>42331</v>
      </c>
      <c r="M83" s="705" t="s">
        <v>976</v>
      </c>
      <c r="N83" s="705">
        <v>64846.75</v>
      </c>
      <c r="O83" s="189" t="s">
        <v>1026</v>
      </c>
      <c r="P83" s="722" t="s">
        <v>976</v>
      </c>
      <c r="Q83" s="722">
        <v>20058.93</v>
      </c>
      <c r="R83" s="722" t="s">
        <v>977</v>
      </c>
      <c r="S83" s="397" t="s">
        <v>995</v>
      </c>
      <c r="T83" s="800">
        <f>17993.92+16269.7+7224.56+11171.52+3762.23</f>
        <v>56421.93</v>
      </c>
      <c r="U83" s="797">
        <f>17993.92+16296.7+7224.56</f>
        <v>41515.179999999993</v>
      </c>
      <c r="V83" s="797">
        <v>0</v>
      </c>
      <c r="W83" s="797">
        <f>U83</f>
        <v>41515.179999999993</v>
      </c>
      <c r="X83" s="824" t="s">
        <v>4</v>
      </c>
      <c r="Z83" s="185"/>
    </row>
    <row r="84" spans="1:31" s="129" customFormat="1" ht="51" x14ac:dyDescent="0.25">
      <c r="A84" s="802" t="s">
        <v>859</v>
      </c>
      <c r="B84" s="696" t="s">
        <v>844</v>
      </c>
      <c r="C84" s="802" t="s">
        <v>225</v>
      </c>
      <c r="D84" s="802" t="s">
        <v>225</v>
      </c>
      <c r="E84" s="802" t="s">
        <v>225</v>
      </c>
      <c r="F84" s="802" t="s">
        <v>225</v>
      </c>
      <c r="G84" s="190"/>
      <c r="H84" s="495"/>
      <c r="I84" s="189" t="s">
        <v>671</v>
      </c>
      <c r="J84" s="189" t="s">
        <v>671</v>
      </c>
      <c r="K84" s="189" t="s">
        <v>671</v>
      </c>
      <c r="L84" s="189" t="s">
        <v>671</v>
      </c>
      <c r="M84" s="189" t="s">
        <v>671</v>
      </c>
      <c r="N84" s="189" t="s">
        <v>671</v>
      </c>
      <c r="O84" s="189" t="s">
        <v>671</v>
      </c>
      <c r="P84" s="397" t="s">
        <v>671</v>
      </c>
      <c r="Q84" s="397" t="s">
        <v>671</v>
      </c>
      <c r="R84" s="397" t="s">
        <v>671</v>
      </c>
      <c r="S84" s="397" t="s">
        <v>671</v>
      </c>
      <c r="T84" s="397" t="s">
        <v>671</v>
      </c>
      <c r="U84" s="397" t="s">
        <v>671</v>
      </c>
      <c r="V84" s="397" t="s">
        <v>671</v>
      </c>
      <c r="W84" s="397" t="s">
        <v>671</v>
      </c>
      <c r="X84" s="689" t="s">
        <v>671</v>
      </c>
      <c r="Z84" s="185"/>
    </row>
    <row r="85" spans="1:31" s="129" customFormat="1" ht="30.6" x14ac:dyDescent="0.25">
      <c r="A85" s="799" t="s">
        <v>854</v>
      </c>
      <c r="B85" s="787" t="s">
        <v>754</v>
      </c>
      <c r="C85" s="799" t="s">
        <v>225</v>
      </c>
      <c r="D85" s="799" t="s">
        <v>225</v>
      </c>
      <c r="E85" s="799" t="s">
        <v>225</v>
      </c>
      <c r="F85" s="799" t="s">
        <v>225</v>
      </c>
      <c r="G85" s="398"/>
      <c r="H85" s="434"/>
      <c r="I85" s="397" t="s">
        <v>941</v>
      </c>
      <c r="J85" s="397" t="s">
        <v>939</v>
      </c>
      <c r="K85" s="397" t="s">
        <v>1252</v>
      </c>
      <c r="L85" s="397" t="s">
        <v>1253</v>
      </c>
      <c r="M85" s="397" t="s">
        <v>1255</v>
      </c>
      <c r="N85" s="397" t="s">
        <v>1254</v>
      </c>
      <c r="O85" s="397"/>
      <c r="P85" s="397"/>
      <c r="Q85" s="432"/>
      <c r="R85" s="397"/>
      <c r="S85" s="397"/>
      <c r="T85" s="800">
        <f>28782.1+32156.12</f>
        <v>60938.22</v>
      </c>
      <c r="U85" s="798" t="s">
        <v>644</v>
      </c>
      <c r="V85" s="798" t="s">
        <v>644</v>
      </c>
      <c r="W85" s="800">
        <f>V85+U85</f>
        <v>0</v>
      </c>
      <c r="X85" s="798" t="s">
        <v>4</v>
      </c>
      <c r="Z85" s="185"/>
    </row>
    <row r="86" spans="1:31" s="129" customFormat="1" ht="21" thickBot="1" x14ac:dyDescent="0.3">
      <c r="A86" s="842" t="s">
        <v>857</v>
      </c>
      <c r="B86" s="843" t="s">
        <v>855</v>
      </c>
      <c r="C86" s="842" t="s">
        <v>225</v>
      </c>
      <c r="D86" s="842" t="s">
        <v>225</v>
      </c>
      <c r="E86" s="842" t="s">
        <v>225</v>
      </c>
      <c r="F86" s="842" t="s">
        <v>225</v>
      </c>
      <c r="G86" s="844"/>
      <c r="H86" s="845"/>
      <c r="I86" s="846" t="s">
        <v>1256</v>
      </c>
      <c r="J86" s="846" t="s">
        <v>1257</v>
      </c>
      <c r="K86" s="846" t="s">
        <v>1134</v>
      </c>
      <c r="L86" s="846" t="s">
        <v>1146</v>
      </c>
      <c r="M86" s="846" t="s">
        <v>976</v>
      </c>
      <c r="N86" s="846" t="s">
        <v>1258</v>
      </c>
      <c r="O86" s="846" t="s">
        <v>1259</v>
      </c>
      <c r="P86" s="846"/>
      <c r="Q86" s="847">
        <v>24713.22</v>
      </c>
      <c r="R86" s="846"/>
      <c r="S86" s="846"/>
      <c r="T86" s="847">
        <f>33078.47+50164.98+14186.92+24202.06</f>
        <v>121632.43000000001</v>
      </c>
      <c r="U86" s="848" t="s">
        <v>644</v>
      </c>
      <c r="V86" s="848" t="s">
        <v>644</v>
      </c>
      <c r="W86" s="847">
        <f>V86+U86</f>
        <v>0</v>
      </c>
      <c r="X86" s="848" t="s">
        <v>4</v>
      </c>
      <c r="Z86" s="185"/>
    </row>
    <row r="87" spans="1:31" ht="22.8" x14ac:dyDescent="0.4">
      <c r="A87" s="854"/>
      <c r="B87" s="849"/>
      <c r="C87" s="850"/>
      <c r="D87" s="850"/>
      <c r="E87" s="850"/>
      <c r="F87" s="850"/>
      <c r="G87" s="849"/>
      <c r="H87" s="849"/>
      <c r="I87" s="849"/>
      <c r="J87" s="849"/>
      <c r="K87" s="851"/>
      <c r="L87" s="851"/>
      <c r="M87" s="851"/>
      <c r="N87" s="851"/>
      <c r="O87" s="851"/>
      <c r="P87" s="851"/>
      <c r="Q87" s="851"/>
      <c r="R87" s="851"/>
      <c r="S87" s="851"/>
      <c r="T87" s="851"/>
      <c r="U87" s="852"/>
      <c r="V87" s="853"/>
      <c r="W87" s="853"/>
      <c r="X87" s="854"/>
      <c r="Y87" s="3"/>
    </row>
    <row r="88" spans="1:31" ht="22.8" x14ac:dyDescent="0.4">
      <c r="A88" s="823"/>
      <c r="B88" s="998" t="s">
        <v>1132</v>
      </c>
      <c r="C88" s="998"/>
      <c r="D88" s="998"/>
      <c r="E88" s="998"/>
      <c r="F88" s="998"/>
      <c r="G88" s="998"/>
      <c r="H88" s="998"/>
      <c r="I88" s="998"/>
      <c r="J88" s="998"/>
      <c r="K88" s="999"/>
      <c r="L88" s="818"/>
      <c r="M88" s="818"/>
      <c r="N88" s="818"/>
      <c r="O88" s="818"/>
      <c r="P88" s="818"/>
      <c r="Q88" s="818"/>
      <c r="R88" s="818"/>
      <c r="S88" s="818"/>
      <c r="T88" s="818"/>
      <c r="U88" s="758"/>
      <c r="V88" s="758"/>
      <c r="W88" s="758"/>
      <c r="X88" s="823"/>
      <c r="Y88" s="3"/>
    </row>
    <row r="89" spans="1:31" ht="22.8" x14ac:dyDescent="0.4">
      <c r="A89" s="828"/>
      <c r="B89" s="996" t="s">
        <v>364</v>
      </c>
      <c r="C89" s="996"/>
      <c r="D89" s="996"/>
      <c r="E89" s="996"/>
      <c r="F89" s="996"/>
      <c r="G89" s="996"/>
      <c r="H89" s="996"/>
      <c r="I89" s="996"/>
      <c r="J89" s="996"/>
      <c r="K89" s="997"/>
      <c r="L89" s="807"/>
      <c r="M89" s="807"/>
      <c r="N89" s="807"/>
      <c r="O89" s="807"/>
      <c r="P89" s="807"/>
      <c r="Q89" s="807"/>
      <c r="R89" s="807"/>
      <c r="S89" s="807"/>
      <c r="T89" s="807"/>
      <c r="U89" s="786"/>
      <c r="V89" s="786"/>
      <c r="W89" s="786"/>
      <c r="X89" s="828"/>
      <c r="Y89" s="3"/>
    </row>
    <row r="90" spans="1:31" ht="22.8" x14ac:dyDescent="0.4">
      <c r="A90" s="828"/>
      <c r="B90" s="790"/>
      <c r="C90" s="834"/>
      <c r="D90" s="834"/>
      <c r="E90" s="834"/>
      <c r="F90" s="834"/>
      <c r="G90" s="790"/>
      <c r="H90" s="790"/>
      <c r="I90" s="790"/>
      <c r="J90" s="790"/>
      <c r="K90" s="807"/>
      <c r="L90" s="807"/>
      <c r="M90" s="807"/>
      <c r="N90" s="807"/>
      <c r="O90" s="807"/>
      <c r="P90" s="807"/>
      <c r="Q90" s="807"/>
      <c r="R90" s="807"/>
      <c r="S90" s="807"/>
      <c r="T90" s="807"/>
      <c r="U90" s="786"/>
      <c r="V90" s="786"/>
      <c r="W90" s="786"/>
      <c r="X90" s="828"/>
      <c r="Y90" s="3"/>
    </row>
    <row r="91" spans="1:31" ht="22.8" x14ac:dyDescent="0.25">
      <c r="A91" s="798" t="s">
        <v>1135</v>
      </c>
      <c r="B91" s="787" t="s">
        <v>1133</v>
      </c>
      <c r="C91" s="799" t="s">
        <v>225</v>
      </c>
      <c r="D91" s="799" t="s">
        <v>225</v>
      </c>
      <c r="E91" s="799" t="s">
        <v>225</v>
      </c>
      <c r="F91" s="799" t="s">
        <v>225</v>
      </c>
      <c r="G91" s="790"/>
      <c r="H91" s="790"/>
      <c r="I91" s="396" t="s">
        <v>1013</v>
      </c>
      <c r="J91" s="791" t="s">
        <v>1014</v>
      </c>
      <c r="K91" s="397" t="s">
        <v>1134</v>
      </c>
      <c r="L91" s="792" t="s">
        <v>1136</v>
      </c>
      <c r="M91" s="435" t="s">
        <v>982</v>
      </c>
      <c r="N91" s="396">
        <v>13458.22</v>
      </c>
      <c r="O91" s="432" t="s">
        <v>1106</v>
      </c>
      <c r="P91" s="435" t="s">
        <v>982</v>
      </c>
      <c r="Q91" s="435" t="s">
        <v>977</v>
      </c>
      <c r="R91" s="435" t="s">
        <v>977</v>
      </c>
      <c r="S91" s="793">
        <v>44905100</v>
      </c>
      <c r="T91" s="789">
        <v>0</v>
      </c>
      <c r="U91" s="789">
        <v>0</v>
      </c>
      <c r="V91" s="789">
        <v>0</v>
      </c>
      <c r="W91" s="789">
        <v>0</v>
      </c>
      <c r="X91" s="796" t="s">
        <v>1106</v>
      </c>
      <c r="Y91" s="3"/>
    </row>
    <row r="92" spans="1:31" ht="30.6" x14ac:dyDescent="0.25">
      <c r="A92" s="798" t="s">
        <v>1138</v>
      </c>
      <c r="B92" s="787" t="s">
        <v>1137</v>
      </c>
      <c r="C92" s="799" t="s">
        <v>225</v>
      </c>
      <c r="D92" s="799" t="s">
        <v>225</v>
      </c>
      <c r="E92" s="799" t="s">
        <v>225</v>
      </c>
      <c r="F92" s="799" t="s">
        <v>225</v>
      </c>
      <c r="G92" s="790"/>
      <c r="H92" s="790"/>
      <c r="I92" s="396" t="s">
        <v>1013</v>
      </c>
      <c r="J92" s="791" t="s">
        <v>1014</v>
      </c>
      <c r="K92" s="397" t="s">
        <v>1139</v>
      </c>
      <c r="L92" s="792" t="s">
        <v>1140</v>
      </c>
      <c r="M92" s="435" t="s">
        <v>976</v>
      </c>
      <c r="N92" s="396">
        <v>47669.59</v>
      </c>
      <c r="O92" s="432" t="s">
        <v>1106</v>
      </c>
      <c r="P92" s="435" t="s">
        <v>977</v>
      </c>
      <c r="Q92" s="435" t="s">
        <v>977</v>
      </c>
      <c r="R92" s="435" t="s">
        <v>977</v>
      </c>
      <c r="S92" s="793">
        <v>44905100</v>
      </c>
      <c r="T92" s="789">
        <v>0</v>
      </c>
      <c r="U92" s="789">
        <v>0</v>
      </c>
      <c r="V92" s="789">
        <v>0</v>
      </c>
      <c r="W92" s="789">
        <v>0</v>
      </c>
      <c r="X92" s="796" t="s">
        <v>1106</v>
      </c>
      <c r="Y92" s="3"/>
    </row>
    <row r="93" spans="1:31" s="124" customFormat="1" ht="40.799999999999997" x14ac:dyDescent="0.25">
      <c r="A93" s="798" t="s">
        <v>1142</v>
      </c>
      <c r="B93" s="787" t="s">
        <v>1141</v>
      </c>
      <c r="C93" s="799" t="s">
        <v>225</v>
      </c>
      <c r="D93" s="799" t="s">
        <v>225</v>
      </c>
      <c r="E93" s="799" t="s">
        <v>225</v>
      </c>
      <c r="F93" s="799" t="s">
        <v>225</v>
      </c>
      <c r="G93" s="790"/>
      <c r="H93" s="790"/>
      <c r="I93" s="396" t="s">
        <v>1144</v>
      </c>
      <c r="J93" s="791" t="s">
        <v>1143</v>
      </c>
      <c r="K93" s="397" t="s">
        <v>1145</v>
      </c>
      <c r="L93" s="792" t="s">
        <v>1146</v>
      </c>
      <c r="M93" s="435" t="s">
        <v>982</v>
      </c>
      <c r="N93" s="396">
        <v>25867.71</v>
      </c>
      <c r="O93" s="432" t="s">
        <v>4</v>
      </c>
      <c r="P93" s="435" t="s">
        <v>977</v>
      </c>
      <c r="Q93" s="435" t="s">
        <v>977</v>
      </c>
      <c r="R93" s="435" t="s">
        <v>977</v>
      </c>
      <c r="S93" s="793">
        <v>44905100</v>
      </c>
      <c r="T93" s="789">
        <v>10513.51</v>
      </c>
      <c r="U93" s="789">
        <v>10513.51</v>
      </c>
      <c r="V93" s="789">
        <v>0</v>
      </c>
      <c r="W93" s="789">
        <f>U93</f>
        <v>10513.51</v>
      </c>
      <c r="X93" s="796" t="s">
        <v>4</v>
      </c>
      <c r="Y93" s="3"/>
    </row>
    <row r="94" spans="1:31" ht="30.6" x14ac:dyDescent="0.25">
      <c r="A94" s="798" t="s">
        <v>1147</v>
      </c>
      <c r="B94" s="787" t="s">
        <v>1151</v>
      </c>
      <c r="C94" s="799" t="s">
        <v>225</v>
      </c>
      <c r="D94" s="799" t="s">
        <v>225</v>
      </c>
      <c r="E94" s="799" t="s">
        <v>225</v>
      </c>
      <c r="F94" s="799" t="s">
        <v>225</v>
      </c>
      <c r="G94" s="790"/>
      <c r="H94" s="790"/>
      <c r="I94" s="396" t="s">
        <v>992</v>
      </c>
      <c r="J94" s="791" t="s">
        <v>569</v>
      </c>
      <c r="K94" s="397" t="s">
        <v>1152</v>
      </c>
      <c r="L94" s="792" t="s">
        <v>1153</v>
      </c>
      <c r="M94" s="435" t="s">
        <v>976</v>
      </c>
      <c r="N94" s="396">
        <v>81643.28</v>
      </c>
      <c r="O94" s="432" t="s">
        <v>4</v>
      </c>
      <c r="P94" s="435" t="s">
        <v>977</v>
      </c>
      <c r="Q94" s="435" t="s">
        <v>977</v>
      </c>
      <c r="R94" s="435" t="s">
        <v>977</v>
      </c>
      <c r="S94" s="793">
        <v>44905100</v>
      </c>
      <c r="T94" s="789">
        <v>15402</v>
      </c>
      <c r="U94" s="789">
        <v>0</v>
      </c>
      <c r="V94" s="789">
        <v>0</v>
      </c>
      <c r="W94" s="789">
        <v>0</v>
      </c>
      <c r="X94" s="796" t="s">
        <v>4</v>
      </c>
      <c r="Y94" s="3"/>
    </row>
    <row r="95" spans="1:31" ht="30.6" x14ac:dyDescent="0.25">
      <c r="A95" s="798" t="s">
        <v>1148</v>
      </c>
      <c r="B95" s="787" t="s">
        <v>1154</v>
      </c>
      <c r="C95" s="799" t="s">
        <v>225</v>
      </c>
      <c r="D95" s="799" t="s">
        <v>225</v>
      </c>
      <c r="E95" s="799" t="s">
        <v>225</v>
      </c>
      <c r="F95" s="799" t="s">
        <v>225</v>
      </c>
      <c r="G95" s="790"/>
      <c r="H95" s="790"/>
      <c r="I95" s="396" t="s">
        <v>436</v>
      </c>
      <c r="J95" s="396" t="s">
        <v>436</v>
      </c>
      <c r="K95" s="396" t="s">
        <v>436</v>
      </c>
      <c r="L95" s="396" t="s">
        <v>436</v>
      </c>
      <c r="M95" s="794" t="s">
        <v>436</v>
      </c>
      <c r="N95" s="396" t="s">
        <v>436</v>
      </c>
      <c r="O95" s="396" t="s">
        <v>436</v>
      </c>
      <c r="P95" s="794" t="s">
        <v>436</v>
      </c>
      <c r="Q95" s="396" t="s">
        <v>436</v>
      </c>
      <c r="R95" s="794" t="s">
        <v>436</v>
      </c>
      <c r="S95" s="795" t="s">
        <v>436</v>
      </c>
      <c r="T95" s="396" t="s">
        <v>436</v>
      </c>
      <c r="U95" s="396" t="s">
        <v>436</v>
      </c>
      <c r="V95" s="396" t="s">
        <v>436</v>
      </c>
      <c r="W95" s="396" t="s">
        <v>436</v>
      </c>
      <c r="X95" s="800" t="s">
        <v>436</v>
      </c>
      <c r="Y95" s="3"/>
    </row>
    <row r="96" spans="1:31" s="124" customFormat="1" ht="61.2" x14ac:dyDescent="0.25">
      <c r="A96" s="798" t="s">
        <v>1149</v>
      </c>
      <c r="B96" s="787" t="s">
        <v>1155</v>
      </c>
      <c r="C96" s="799" t="s">
        <v>225</v>
      </c>
      <c r="D96" s="799" t="s">
        <v>225</v>
      </c>
      <c r="E96" s="799" t="s">
        <v>225</v>
      </c>
      <c r="F96" s="799" t="s">
        <v>225</v>
      </c>
      <c r="G96" s="790"/>
      <c r="H96" s="790"/>
      <c r="I96" s="396" t="s">
        <v>992</v>
      </c>
      <c r="J96" s="791" t="s">
        <v>569</v>
      </c>
      <c r="K96" s="397" t="s">
        <v>1156</v>
      </c>
      <c r="L96" s="792" t="s">
        <v>1157</v>
      </c>
      <c r="M96" s="435" t="s">
        <v>982</v>
      </c>
      <c r="N96" s="396">
        <v>29206</v>
      </c>
      <c r="O96" s="432" t="s">
        <v>4</v>
      </c>
      <c r="P96" s="435" t="s">
        <v>977</v>
      </c>
      <c r="Q96" s="435" t="s">
        <v>977</v>
      </c>
      <c r="R96" s="435" t="s">
        <v>977</v>
      </c>
      <c r="S96" s="793">
        <v>44905100</v>
      </c>
      <c r="T96" s="789">
        <v>12176.06</v>
      </c>
      <c r="U96" s="789">
        <v>12176.06</v>
      </c>
      <c r="V96" s="789">
        <v>0</v>
      </c>
      <c r="W96" s="789">
        <v>12176.06</v>
      </c>
      <c r="X96" s="796" t="s">
        <v>4</v>
      </c>
      <c r="Y96" s="3"/>
      <c r="Z96" s="3"/>
      <c r="AA96" s="3"/>
      <c r="AB96" s="3"/>
      <c r="AC96" s="3"/>
      <c r="AD96" s="3"/>
      <c r="AE96" s="3"/>
    </row>
    <row r="97" spans="1:29" ht="30.6" x14ac:dyDescent="0.25">
      <c r="A97" s="798" t="s">
        <v>1150</v>
      </c>
      <c r="B97" s="787" t="s">
        <v>1158</v>
      </c>
      <c r="C97" s="799" t="s">
        <v>225</v>
      </c>
      <c r="D97" s="799" t="s">
        <v>225</v>
      </c>
      <c r="E97" s="799" t="s">
        <v>225</v>
      </c>
      <c r="F97" s="799" t="s">
        <v>225</v>
      </c>
      <c r="G97" s="790"/>
      <c r="H97" s="790"/>
      <c r="I97" s="396" t="s">
        <v>1018</v>
      </c>
      <c r="J97" s="791" t="s">
        <v>1159</v>
      </c>
      <c r="K97" s="397" t="s">
        <v>1160</v>
      </c>
      <c r="L97" s="792" t="s">
        <v>1157</v>
      </c>
      <c r="M97" s="435" t="s">
        <v>976</v>
      </c>
      <c r="N97" s="396">
        <v>94265.45</v>
      </c>
      <c r="O97" s="432" t="s">
        <v>1106</v>
      </c>
      <c r="P97" s="435" t="s">
        <v>977</v>
      </c>
      <c r="Q97" s="435" t="s">
        <v>977</v>
      </c>
      <c r="R97" s="435" t="s">
        <v>977</v>
      </c>
      <c r="S97" s="793">
        <v>44905100</v>
      </c>
      <c r="T97" s="789">
        <v>0</v>
      </c>
      <c r="U97" s="789">
        <v>0</v>
      </c>
      <c r="V97" s="789">
        <v>0</v>
      </c>
      <c r="W97" s="789">
        <v>0</v>
      </c>
      <c r="X97" s="796" t="s">
        <v>1106</v>
      </c>
      <c r="Y97" s="3"/>
    </row>
    <row r="98" spans="1:29" s="124" customFormat="1" ht="30.6" x14ac:dyDescent="0.25">
      <c r="A98" s="798" t="s">
        <v>1161</v>
      </c>
      <c r="B98" s="787" t="s">
        <v>1162</v>
      </c>
      <c r="C98" s="799" t="s">
        <v>225</v>
      </c>
      <c r="D98" s="799" t="s">
        <v>225</v>
      </c>
      <c r="E98" s="799" t="s">
        <v>225</v>
      </c>
      <c r="F98" s="799" t="s">
        <v>225</v>
      </c>
      <c r="G98" s="790"/>
      <c r="H98" s="790"/>
      <c r="I98" s="396" t="s">
        <v>1164</v>
      </c>
      <c r="J98" s="791" t="s">
        <v>1163</v>
      </c>
      <c r="K98" s="397" t="s">
        <v>947</v>
      </c>
      <c r="L98" s="792" t="s">
        <v>1165</v>
      </c>
      <c r="M98" s="435" t="s">
        <v>984</v>
      </c>
      <c r="N98" s="396">
        <v>12244.73</v>
      </c>
      <c r="O98" s="432" t="s">
        <v>4</v>
      </c>
      <c r="P98" s="435" t="s">
        <v>984</v>
      </c>
      <c r="Q98" s="435" t="s">
        <v>977</v>
      </c>
      <c r="R98" s="435" t="s">
        <v>977</v>
      </c>
      <c r="S98" s="793">
        <v>44905100</v>
      </c>
      <c r="T98" s="789">
        <v>8743.01</v>
      </c>
      <c r="U98" s="789">
        <v>8743.01</v>
      </c>
      <c r="V98" s="789">
        <v>0</v>
      </c>
      <c r="W98" s="789">
        <f>U98</f>
        <v>8743.01</v>
      </c>
      <c r="X98" s="796" t="s">
        <v>4</v>
      </c>
      <c r="Y98" s="3"/>
      <c r="Z98" s="3"/>
      <c r="AA98" s="3"/>
      <c r="AB98" s="3"/>
      <c r="AC98" s="3"/>
    </row>
    <row r="99" spans="1:29" ht="30.6" x14ac:dyDescent="0.25">
      <c r="A99" s="798" t="s">
        <v>1167</v>
      </c>
      <c r="B99" s="787" t="s">
        <v>1166</v>
      </c>
      <c r="C99" s="799" t="s">
        <v>225</v>
      </c>
      <c r="D99" s="799" t="s">
        <v>225</v>
      </c>
      <c r="E99" s="799" t="s">
        <v>225</v>
      </c>
      <c r="F99" s="799" t="s">
        <v>225</v>
      </c>
      <c r="G99" s="790"/>
      <c r="H99" s="790"/>
      <c r="I99" s="396" t="s">
        <v>671</v>
      </c>
      <c r="J99" s="396" t="s">
        <v>671</v>
      </c>
      <c r="K99" s="396" t="s">
        <v>671</v>
      </c>
      <c r="L99" s="396" t="s">
        <v>671</v>
      </c>
      <c r="M99" s="396" t="s">
        <v>671</v>
      </c>
      <c r="N99" s="396" t="s">
        <v>671</v>
      </c>
      <c r="O99" s="396" t="s">
        <v>671</v>
      </c>
      <c r="P99" s="396" t="s">
        <v>671</v>
      </c>
      <c r="Q99" s="396" t="s">
        <v>671</v>
      </c>
      <c r="R99" s="396" t="s">
        <v>671</v>
      </c>
      <c r="S99" s="396" t="s">
        <v>671</v>
      </c>
      <c r="T99" s="396" t="s">
        <v>671</v>
      </c>
      <c r="U99" s="396" t="s">
        <v>671</v>
      </c>
      <c r="V99" s="396" t="s">
        <v>671</v>
      </c>
      <c r="W99" s="396" t="s">
        <v>671</v>
      </c>
      <c r="X99" s="800" t="s">
        <v>671</v>
      </c>
      <c r="Y99" s="3"/>
    </row>
    <row r="100" spans="1:29" ht="30.6" x14ac:dyDescent="0.25">
      <c r="A100" s="798" t="s">
        <v>1169</v>
      </c>
      <c r="B100" s="787" t="s">
        <v>1168</v>
      </c>
      <c r="C100" s="799" t="s">
        <v>225</v>
      </c>
      <c r="D100" s="799" t="s">
        <v>225</v>
      </c>
      <c r="E100" s="799" t="s">
        <v>225</v>
      </c>
      <c r="F100" s="799" t="s">
        <v>225</v>
      </c>
      <c r="G100" s="790"/>
      <c r="H100" s="790"/>
      <c r="I100" s="396" t="s">
        <v>793</v>
      </c>
      <c r="J100" s="396" t="s">
        <v>793</v>
      </c>
      <c r="K100" s="396" t="s">
        <v>793</v>
      </c>
      <c r="L100" s="396" t="s">
        <v>793</v>
      </c>
      <c r="M100" s="396" t="s">
        <v>793</v>
      </c>
      <c r="N100" s="396" t="s">
        <v>793</v>
      </c>
      <c r="O100" s="396" t="s">
        <v>793</v>
      </c>
      <c r="P100" s="396" t="s">
        <v>793</v>
      </c>
      <c r="Q100" s="396" t="s">
        <v>793</v>
      </c>
      <c r="R100" s="396" t="s">
        <v>793</v>
      </c>
      <c r="S100" s="396" t="s">
        <v>793</v>
      </c>
      <c r="T100" s="396" t="s">
        <v>793</v>
      </c>
      <c r="U100" s="396" t="s">
        <v>793</v>
      </c>
      <c r="V100" s="396" t="s">
        <v>793</v>
      </c>
      <c r="W100" s="396" t="s">
        <v>793</v>
      </c>
      <c r="X100" s="800" t="s">
        <v>793</v>
      </c>
      <c r="Y100" s="3"/>
    </row>
    <row r="101" spans="1:29" ht="30.6" x14ac:dyDescent="0.25">
      <c r="A101" s="798" t="s">
        <v>1172</v>
      </c>
      <c r="B101" s="787" t="s">
        <v>1170</v>
      </c>
      <c r="C101" s="799" t="s">
        <v>225</v>
      </c>
      <c r="D101" s="799" t="s">
        <v>225</v>
      </c>
      <c r="E101" s="799" t="s">
        <v>225</v>
      </c>
      <c r="F101" s="799" t="s">
        <v>225</v>
      </c>
      <c r="G101" s="790"/>
      <c r="H101" s="790"/>
      <c r="I101" s="396" t="s">
        <v>671</v>
      </c>
      <c r="J101" s="396" t="s">
        <v>671</v>
      </c>
      <c r="K101" s="396" t="s">
        <v>671</v>
      </c>
      <c r="L101" s="396" t="s">
        <v>671</v>
      </c>
      <c r="M101" s="396" t="s">
        <v>671</v>
      </c>
      <c r="N101" s="396" t="s">
        <v>671</v>
      </c>
      <c r="O101" s="396" t="s">
        <v>671</v>
      </c>
      <c r="P101" s="396" t="s">
        <v>671</v>
      </c>
      <c r="Q101" s="396" t="s">
        <v>671</v>
      </c>
      <c r="R101" s="396" t="s">
        <v>671</v>
      </c>
      <c r="S101" s="396" t="s">
        <v>671</v>
      </c>
      <c r="T101" s="396" t="s">
        <v>671</v>
      </c>
      <c r="U101" s="396" t="s">
        <v>671</v>
      </c>
      <c r="V101" s="396" t="s">
        <v>671</v>
      </c>
      <c r="W101" s="396" t="s">
        <v>671</v>
      </c>
      <c r="X101" s="800" t="s">
        <v>671</v>
      </c>
      <c r="Y101" s="3"/>
    </row>
    <row r="102" spans="1:29" ht="30.6" x14ac:dyDescent="0.25">
      <c r="A102" s="798" t="s">
        <v>1171</v>
      </c>
      <c r="B102" s="787" t="s">
        <v>1173</v>
      </c>
      <c r="C102" s="799" t="s">
        <v>225</v>
      </c>
      <c r="D102" s="799" t="s">
        <v>225</v>
      </c>
      <c r="E102" s="799" t="s">
        <v>225</v>
      </c>
      <c r="F102" s="799" t="s">
        <v>225</v>
      </c>
      <c r="G102" s="790"/>
      <c r="H102" s="790"/>
      <c r="I102" s="396" t="s">
        <v>671</v>
      </c>
      <c r="J102" s="396" t="s">
        <v>671</v>
      </c>
      <c r="K102" s="396" t="s">
        <v>671</v>
      </c>
      <c r="L102" s="396" t="s">
        <v>671</v>
      </c>
      <c r="M102" s="396" t="s">
        <v>671</v>
      </c>
      <c r="N102" s="396" t="s">
        <v>671</v>
      </c>
      <c r="O102" s="396" t="s">
        <v>671</v>
      </c>
      <c r="P102" s="396" t="s">
        <v>671</v>
      </c>
      <c r="Q102" s="396" t="s">
        <v>671</v>
      </c>
      <c r="R102" s="396" t="s">
        <v>671</v>
      </c>
      <c r="S102" s="396" t="s">
        <v>671</v>
      </c>
      <c r="T102" s="396" t="s">
        <v>671</v>
      </c>
      <c r="U102" s="396" t="s">
        <v>671</v>
      </c>
      <c r="V102" s="396" t="s">
        <v>671</v>
      </c>
      <c r="W102" s="396" t="s">
        <v>671</v>
      </c>
      <c r="X102" s="800" t="s">
        <v>671</v>
      </c>
      <c r="Y102" s="3"/>
    </row>
    <row r="103" spans="1:29" ht="30.6" x14ac:dyDescent="0.25">
      <c r="A103" s="798" t="s">
        <v>1175</v>
      </c>
      <c r="B103" s="787" t="s">
        <v>1174</v>
      </c>
      <c r="C103" s="799" t="s">
        <v>225</v>
      </c>
      <c r="D103" s="799" t="s">
        <v>225</v>
      </c>
      <c r="E103" s="799" t="s">
        <v>225</v>
      </c>
      <c r="F103" s="799" t="s">
        <v>225</v>
      </c>
      <c r="G103" s="790"/>
      <c r="H103" s="790"/>
      <c r="I103" s="396" t="s">
        <v>1018</v>
      </c>
      <c r="J103" s="791" t="s">
        <v>1159</v>
      </c>
      <c r="K103" s="397" t="s">
        <v>1177</v>
      </c>
      <c r="L103" s="792" t="s">
        <v>1176</v>
      </c>
      <c r="M103" s="435" t="s">
        <v>982</v>
      </c>
      <c r="N103" s="396">
        <v>146227.07999999999</v>
      </c>
      <c r="O103" s="432" t="s">
        <v>4</v>
      </c>
      <c r="P103" s="435" t="s">
        <v>977</v>
      </c>
      <c r="Q103" s="435" t="s">
        <v>977</v>
      </c>
      <c r="R103" s="435" t="s">
        <v>977</v>
      </c>
      <c r="S103" s="793">
        <v>44905100</v>
      </c>
      <c r="T103" s="789">
        <v>0</v>
      </c>
      <c r="U103" s="789">
        <v>0</v>
      </c>
      <c r="V103" s="789">
        <v>0</v>
      </c>
      <c r="W103" s="789">
        <v>0</v>
      </c>
      <c r="X103" s="796" t="s">
        <v>4</v>
      </c>
      <c r="Y103" s="3"/>
    </row>
    <row r="104" spans="1:29" ht="23.4" x14ac:dyDescent="0.25">
      <c r="A104" s="798" t="s">
        <v>1179</v>
      </c>
      <c r="B104" s="787" t="s">
        <v>1178</v>
      </c>
      <c r="C104" s="799" t="s">
        <v>225</v>
      </c>
      <c r="D104" s="799" t="s">
        <v>225</v>
      </c>
      <c r="E104" s="799" t="s">
        <v>225</v>
      </c>
      <c r="F104" s="799" t="s">
        <v>225</v>
      </c>
      <c r="G104" s="790"/>
      <c r="H104" s="790"/>
      <c r="I104" s="396" t="s">
        <v>1018</v>
      </c>
      <c r="J104" s="791" t="s">
        <v>1159</v>
      </c>
      <c r="K104" s="397" t="s">
        <v>1180</v>
      </c>
      <c r="L104" s="792" t="s">
        <v>1181</v>
      </c>
      <c r="M104" s="435" t="s">
        <v>1182</v>
      </c>
      <c r="N104" s="396">
        <v>70888.960000000006</v>
      </c>
      <c r="O104" s="432" t="s">
        <v>1106</v>
      </c>
      <c r="P104" s="435" t="s">
        <v>977</v>
      </c>
      <c r="Q104" s="435" t="s">
        <v>977</v>
      </c>
      <c r="R104" s="435" t="s">
        <v>977</v>
      </c>
      <c r="S104" s="793">
        <v>44905100</v>
      </c>
      <c r="T104" s="789">
        <v>0</v>
      </c>
      <c r="U104" s="789">
        <v>0</v>
      </c>
      <c r="V104" s="789">
        <v>0</v>
      </c>
      <c r="W104" s="789">
        <v>0</v>
      </c>
      <c r="X104" s="796" t="s">
        <v>1106</v>
      </c>
      <c r="Y104" s="3"/>
    </row>
    <row r="105" spans="1:29" ht="30.6" x14ac:dyDescent="0.25">
      <c r="A105" s="798" t="s">
        <v>1184</v>
      </c>
      <c r="B105" s="787" t="s">
        <v>1183</v>
      </c>
      <c r="C105" s="799" t="s">
        <v>225</v>
      </c>
      <c r="D105" s="799" t="s">
        <v>225</v>
      </c>
      <c r="E105" s="799" t="s">
        <v>225</v>
      </c>
      <c r="F105" s="799" t="s">
        <v>225</v>
      </c>
      <c r="G105" s="790"/>
      <c r="H105" s="790"/>
      <c r="I105" s="396" t="s">
        <v>671</v>
      </c>
      <c r="J105" s="396" t="s">
        <v>671</v>
      </c>
      <c r="K105" s="396" t="s">
        <v>671</v>
      </c>
      <c r="L105" s="396" t="s">
        <v>671</v>
      </c>
      <c r="M105" s="396" t="s">
        <v>671</v>
      </c>
      <c r="N105" s="396" t="s">
        <v>671</v>
      </c>
      <c r="O105" s="396" t="s">
        <v>671</v>
      </c>
      <c r="P105" s="396" t="s">
        <v>671</v>
      </c>
      <c r="Q105" s="396" t="s">
        <v>671</v>
      </c>
      <c r="R105" s="396" t="s">
        <v>671</v>
      </c>
      <c r="S105" s="396" t="s">
        <v>671</v>
      </c>
      <c r="T105" s="396" t="s">
        <v>671</v>
      </c>
      <c r="U105" s="396" t="s">
        <v>671</v>
      </c>
      <c r="V105" s="396" t="s">
        <v>671</v>
      </c>
      <c r="W105" s="396" t="s">
        <v>671</v>
      </c>
      <c r="X105" s="800" t="s">
        <v>671</v>
      </c>
      <c r="Y105" s="3"/>
    </row>
    <row r="106" spans="1:29" ht="30.6" x14ac:dyDescent="0.25">
      <c r="A106" s="798" t="s">
        <v>1185</v>
      </c>
      <c r="B106" s="787" t="s">
        <v>1186</v>
      </c>
      <c r="C106" s="799" t="s">
        <v>225</v>
      </c>
      <c r="D106" s="799" t="s">
        <v>225</v>
      </c>
      <c r="E106" s="799" t="s">
        <v>225</v>
      </c>
      <c r="F106" s="799" t="s">
        <v>225</v>
      </c>
      <c r="G106" s="790"/>
      <c r="H106" s="790"/>
      <c r="I106" s="396" t="s">
        <v>1144</v>
      </c>
      <c r="J106" s="791" t="s">
        <v>1143</v>
      </c>
      <c r="K106" s="397" t="s">
        <v>1187</v>
      </c>
      <c r="L106" s="792" t="s">
        <v>1188</v>
      </c>
      <c r="M106" s="435" t="s">
        <v>1023</v>
      </c>
      <c r="N106" s="396">
        <v>33478.04</v>
      </c>
      <c r="O106" s="432" t="s">
        <v>1106</v>
      </c>
      <c r="P106" s="435" t="s">
        <v>977</v>
      </c>
      <c r="Q106" s="435" t="s">
        <v>977</v>
      </c>
      <c r="R106" s="435" t="s">
        <v>977</v>
      </c>
      <c r="S106" s="793">
        <v>44905100</v>
      </c>
      <c r="T106" s="789">
        <v>0</v>
      </c>
      <c r="U106" s="789">
        <v>0</v>
      </c>
      <c r="V106" s="789">
        <v>0</v>
      </c>
      <c r="W106" s="789">
        <v>0</v>
      </c>
      <c r="X106" s="796" t="s">
        <v>1106</v>
      </c>
      <c r="Y106" s="3"/>
    </row>
    <row r="107" spans="1:29" ht="30.6" x14ac:dyDescent="0.25">
      <c r="A107" s="798" t="s">
        <v>1190</v>
      </c>
      <c r="B107" s="787" t="s">
        <v>1189</v>
      </c>
      <c r="C107" s="799" t="s">
        <v>225</v>
      </c>
      <c r="D107" s="799" t="s">
        <v>225</v>
      </c>
      <c r="E107" s="799" t="s">
        <v>225</v>
      </c>
      <c r="F107" s="799" t="s">
        <v>225</v>
      </c>
      <c r="G107" s="790"/>
      <c r="H107" s="790"/>
      <c r="I107" s="396" t="s">
        <v>1164</v>
      </c>
      <c r="J107" s="791" t="s">
        <v>1163</v>
      </c>
      <c r="K107" s="397" t="s">
        <v>1191</v>
      </c>
      <c r="L107" s="792" t="s">
        <v>1192</v>
      </c>
      <c r="M107" s="435" t="s">
        <v>1023</v>
      </c>
      <c r="N107" s="396">
        <v>13915.32</v>
      </c>
      <c r="O107" s="432" t="s">
        <v>4</v>
      </c>
      <c r="P107" s="435" t="s">
        <v>977</v>
      </c>
      <c r="Q107" s="435" t="s">
        <v>977</v>
      </c>
      <c r="R107" s="435" t="s">
        <v>977</v>
      </c>
      <c r="S107" s="793">
        <v>44905100</v>
      </c>
      <c r="T107" s="789" t="s">
        <v>1193</v>
      </c>
      <c r="U107" s="789">
        <v>0</v>
      </c>
      <c r="V107" s="789">
        <v>0</v>
      </c>
      <c r="W107" s="789">
        <v>0</v>
      </c>
      <c r="X107" s="796" t="s">
        <v>4</v>
      </c>
      <c r="Y107" s="3"/>
    </row>
    <row r="108" spans="1:29" s="124" customFormat="1" ht="61.2" x14ac:dyDescent="0.25">
      <c r="A108" s="798" t="s">
        <v>1194</v>
      </c>
      <c r="B108" s="787" t="s">
        <v>1195</v>
      </c>
      <c r="C108" s="799" t="s">
        <v>225</v>
      </c>
      <c r="D108" s="799" t="s">
        <v>225</v>
      </c>
      <c r="E108" s="799" t="s">
        <v>225</v>
      </c>
      <c r="F108" s="799" t="s">
        <v>225</v>
      </c>
      <c r="G108" s="790"/>
      <c r="H108" s="790"/>
      <c r="I108" s="396" t="s">
        <v>1144</v>
      </c>
      <c r="J108" s="791" t="s">
        <v>1143</v>
      </c>
      <c r="K108" s="397" t="s">
        <v>1196</v>
      </c>
      <c r="L108" s="792" t="s">
        <v>1197</v>
      </c>
      <c r="M108" s="435" t="s">
        <v>1023</v>
      </c>
      <c r="N108" s="396">
        <v>10080</v>
      </c>
      <c r="O108" s="435" t="s">
        <v>1198</v>
      </c>
      <c r="P108" s="435" t="s">
        <v>977</v>
      </c>
      <c r="Q108" s="435" t="s">
        <v>977</v>
      </c>
      <c r="R108" s="435" t="s">
        <v>977</v>
      </c>
      <c r="S108" s="793">
        <v>44905100</v>
      </c>
      <c r="T108" s="800">
        <v>10080</v>
      </c>
      <c r="U108" s="800">
        <v>10080</v>
      </c>
      <c r="V108" s="800">
        <v>0</v>
      </c>
      <c r="W108" s="800">
        <v>10080</v>
      </c>
      <c r="X108" s="796" t="s">
        <v>221</v>
      </c>
      <c r="Y108" s="3"/>
      <c r="Z108" s="3"/>
      <c r="AA108" s="3"/>
      <c r="AB108" s="3"/>
      <c r="AC108" s="3"/>
    </row>
    <row r="109" spans="1:29" ht="52.8" x14ac:dyDescent="0.25">
      <c r="A109" s="798" t="s">
        <v>1200</v>
      </c>
      <c r="B109" s="787" t="s">
        <v>1275</v>
      </c>
      <c r="C109" s="799" t="s">
        <v>225</v>
      </c>
      <c r="D109" s="799" t="s">
        <v>225</v>
      </c>
      <c r="E109" s="799" t="s">
        <v>225</v>
      </c>
      <c r="F109" s="799" t="s">
        <v>225</v>
      </c>
      <c r="G109" s="790"/>
      <c r="H109" s="790"/>
      <c r="I109" s="396" t="s">
        <v>1013</v>
      </c>
      <c r="J109" s="791" t="s">
        <v>1014</v>
      </c>
      <c r="K109" s="397" t="s">
        <v>1201</v>
      </c>
      <c r="L109" s="792" t="s">
        <v>1202</v>
      </c>
      <c r="M109" s="435" t="s">
        <v>976</v>
      </c>
      <c r="N109" s="396">
        <v>125920.63</v>
      </c>
      <c r="O109" s="432" t="s">
        <v>1106</v>
      </c>
      <c r="P109" s="435" t="s">
        <v>977</v>
      </c>
      <c r="Q109" s="435" t="s">
        <v>977</v>
      </c>
      <c r="R109" s="435" t="s">
        <v>977</v>
      </c>
      <c r="S109" s="793">
        <v>44905100</v>
      </c>
      <c r="T109" s="789">
        <v>0</v>
      </c>
      <c r="U109" s="789">
        <v>0</v>
      </c>
      <c r="V109" s="789">
        <v>0</v>
      </c>
      <c r="W109" s="789">
        <v>0</v>
      </c>
      <c r="X109" s="796" t="s">
        <v>1106</v>
      </c>
      <c r="Y109" s="3"/>
    </row>
    <row r="110" spans="1:29" ht="22.8" x14ac:dyDescent="0.25">
      <c r="A110" s="798" t="s">
        <v>1203</v>
      </c>
      <c r="B110" s="787" t="s">
        <v>1205</v>
      </c>
      <c r="C110" s="799" t="s">
        <v>225</v>
      </c>
      <c r="D110" s="799" t="s">
        <v>225</v>
      </c>
      <c r="E110" s="799" t="s">
        <v>225</v>
      </c>
      <c r="F110" s="799" t="s">
        <v>225</v>
      </c>
      <c r="G110" s="790"/>
      <c r="H110" s="790"/>
      <c r="I110" s="396" t="s">
        <v>1164</v>
      </c>
      <c r="J110" s="791" t="s">
        <v>1163</v>
      </c>
      <c r="K110" s="397" t="s">
        <v>1206</v>
      </c>
      <c r="L110" s="792" t="s">
        <v>1207</v>
      </c>
      <c r="M110" s="435" t="s">
        <v>1023</v>
      </c>
      <c r="N110" s="396">
        <v>10990.7</v>
      </c>
      <c r="O110" s="432" t="s">
        <v>1106</v>
      </c>
      <c r="P110" s="435" t="s">
        <v>977</v>
      </c>
      <c r="Q110" s="435" t="s">
        <v>977</v>
      </c>
      <c r="R110" s="435" t="s">
        <v>977</v>
      </c>
      <c r="S110" s="793">
        <v>44905100</v>
      </c>
      <c r="T110" s="789">
        <v>0</v>
      </c>
      <c r="U110" s="789">
        <v>0</v>
      </c>
      <c r="V110" s="789">
        <v>0</v>
      </c>
      <c r="W110" s="789">
        <v>0</v>
      </c>
      <c r="X110" s="796" t="s">
        <v>1106</v>
      </c>
      <c r="Y110" s="3"/>
    </row>
    <row r="111" spans="1:29" s="124" customFormat="1" ht="30.6" x14ac:dyDescent="0.25">
      <c r="A111" s="798" t="s">
        <v>1204</v>
      </c>
      <c r="B111" s="787" t="s">
        <v>1208</v>
      </c>
      <c r="C111" s="799" t="s">
        <v>225</v>
      </c>
      <c r="D111" s="799" t="s">
        <v>225</v>
      </c>
      <c r="E111" s="799" t="s">
        <v>225</v>
      </c>
      <c r="F111" s="799" t="s">
        <v>225</v>
      </c>
      <c r="G111" s="790"/>
      <c r="H111" s="790"/>
      <c r="I111" s="396" t="s">
        <v>1164</v>
      </c>
      <c r="J111" s="791" t="s">
        <v>1163</v>
      </c>
      <c r="K111" s="397" t="s">
        <v>1209</v>
      </c>
      <c r="L111" s="792" t="s">
        <v>1207</v>
      </c>
      <c r="M111" s="435" t="s">
        <v>1023</v>
      </c>
      <c r="N111" s="396">
        <v>8106.88</v>
      </c>
      <c r="O111" s="432">
        <v>42440</v>
      </c>
      <c r="P111" s="435" t="s">
        <v>977</v>
      </c>
      <c r="Q111" s="435" t="s">
        <v>977</v>
      </c>
      <c r="R111" s="435" t="s">
        <v>977</v>
      </c>
      <c r="S111" s="793">
        <v>44905100</v>
      </c>
      <c r="T111" s="800">
        <v>8106.88</v>
      </c>
      <c r="U111" s="800">
        <f>8106.88</f>
        <v>8106.88</v>
      </c>
      <c r="V111" s="800">
        <v>0</v>
      </c>
      <c r="W111" s="800">
        <f>8106.88</f>
        <v>8106.88</v>
      </c>
      <c r="X111" s="796" t="s">
        <v>221</v>
      </c>
    </row>
    <row r="112" spans="1:29" ht="30.6" x14ac:dyDescent="0.25">
      <c r="A112" s="798" t="s">
        <v>1148</v>
      </c>
      <c r="B112" s="787" t="s">
        <v>1210</v>
      </c>
      <c r="C112" s="799" t="s">
        <v>225</v>
      </c>
      <c r="D112" s="799" t="s">
        <v>225</v>
      </c>
      <c r="E112" s="799" t="s">
        <v>225</v>
      </c>
      <c r="F112" s="799" t="s">
        <v>225</v>
      </c>
      <c r="G112" s="790"/>
      <c r="H112" s="790"/>
      <c r="I112" s="396" t="s">
        <v>436</v>
      </c>
      <c r="J112" s="396" t="s">
        <v>436</v>
      </c>
      <c r="K112" s="396" t="s">
        <v>436</v>
      </c>
      <c r="L112" s="396" t="s">
        <v>436</v>
      </c>
      <c r="M112" s="396" t="s">
        <v>436</v>
      </c>
      <c r="N112" s="396" t="s">
        <v>436</v>
      </c>
      <c r="O112" s="396" t="s">
        <v>436</v>
      </c>
      <c r="P112" s="396" t="s">
        <v>436</v>
      </c>
      <c r="Q112" s="396" t="s">
        <v>436</v>
      </c>
      <c r="R112" s="396" t="s">
        <v>436</v>
      </c>
      <c r="S112" s="396" t="s">
        <v>436</v>
      </c>
      <c r="T112" s="396" t="s">
        <v>436</v>
      </c>
      <c r="U112" s="396" t="s">
        <v>436</v>
      </c>
      <c r="V112" s="396" t="s">
        <v>436</v>
      </c>
      <c r="W112" s="396" t="s">
        <v>436</v>
      </c>
      <c r="X112" s="800" t="s">
        <v>436</v>
      </c>
      <c r="Y112" s="3"/>
    </row>
    <row r="113" spans="1:25" ht="30.6" x14ac:dyDescent="0.25">
      <c r="A113" s="798" t="s">
        <v>1212</v>
      </c>
      <c r="B113" s="787" t="s">
        <v>1211</v>
      </c>
      <c r="C113" s="799" t="s">
        <v>225</v>
      </c>
      <c r="D113" s="799" t="s">
        <v>225</v>
      </c>
      <c r="E113" s="799" t="s">
        <v>225</v>
      </c>
      <c r="F113" s="799" t="s">
        <v>225</v>
      </c>
      <c r="G113" s="790"/>
      <c r="H113" s="790"/>
      <c r="I113" s="396" t="s">
        <v>1214</v>
      </c>
      <c r="J113" s="791" t="s">
        <v>1213</v>
      </c>
      <c r="K113" s="397" t="s">
        <v>1215</v>
      </c>
      <c r="L113" s="792" t="s">
        <v>1188</v>
      </c>
      <c r="M113" s="435" t="s">
        <v>1023</v>
      </c>
      <c r="N113" s="396">
        <v>14317.86</v>
      </c>
      <c r="O113" s="432" t="s">
        <v>1106</v>
      </c>
      <c r="P113" s="435" t="s">
        <v>977</v>
      </c>
      <c r="Q113" s="435" t="s">
        <v>977</v>
      </c>
      <c r="R113" s="435" t="s">
        <v>977</v>
      </c>
      <c r="S113" s="793">
        <v>44905100</v>
      </c>
      <c r="T113" s="789">
        <v>0</v>
      </c>
      <c r="U113" s="789">
        <v>0</v>
      </c>
      <c r="V113" s="789">
        <v>0</v>
      </c>
      <c r="W113" s="789">
        <v>0</v>
      </c>
      <c r="X113" s="796" t="s">
        <v>1106</v>
      </c>
      <c r="Y113" s="3"/>
    </row>
    <row r="114" spans="1:25" ht="40.799999999999997" x14ac:dyDescent="0.25">
      <c r="A114" s="798" t="s">
        <v>1217</v>
      </c>
      <c r="B114" s="787" t="s">
        <v>1216</v>
      </c>
      <c r="C114" s="799" t="s">
        <v>225</v>
      </c>
      <c r="D114" s="799" t="s">
        <v>225</v>
      </c>
      <c r="E114" s="799" t="s">
        <v>225</v>
      </c>
      <c r="F114" s="799" t="s">
        <v>225</v>
      </c>
      <c r="G114" s="790"/>
      <c r="H114" s="790"/>
      <c r="I114" s="396" t="s">
        <v>671</v>
      </c>
      <c r="J114" s="396" t="s">
        <v>671</v>
      </c>
      <c r="K114" s="396" t="s">
        <v>671</v>
      </c>
      <c r="L114" s="396" t="s">
        <v>671</v>
      </c>
      <c r="M114" s="396" t="s">
        <v>671</v>
      </c>
      <c r="N114" s="396" t="s">
        <v>671</v>
      </c>
      <c r="O114" s="396" t="s">
        <v>671</v>
      </c>
      <c r="P114" s="396" t="s">
        <v>671</v>
      </c>
      <c r="Q114" s="396" t="s">
        <v>671</v>
      </c>
      <c r="R114" s="396" t="s">
        <v>671</v>
      </c>
      <c r="S114" s="396" t="s">
        <v>671</v>
      </c>
      <c r="T114" s="396" t="s">
        <v>671</v>
      </c>
      <c r="U114" s="396" t="s">
        <v>671</v>
      </c>
      <c r="V114" s="396" t="s">
        <v>671</v>
      </c>
      <c r="W114" s="396" t="s">
        <v>671</v>
      </c>
      <c r="X114" s="800" t="s">
        <v>671</v>
      </c>
      <c r="Y114" s="3"/>
    </row>
    <row r="115" spans="1:25" ht="30.6" x14ac:dyDescent="0.25">
      <c r="A115" s="798" t="s">
        <v>1148</v>
      </c>
      <c r="B115" s="787" t="s">
        <v>1210</v>
      </c>
      <c r="C115" s="799" t="s">
        <v>225</v>
      </c>
      <c r="D115" s="799" t="s">
        <v>225</v>
      </c>
      <c r="E115" s="799" t="s">
        <v>225</v>
      </c>
      <c r="F115" s="799" t="s">
        <v>225</v>
      </c>
      <c r="G115" s="790"/>
      <c r="H115" s="790"/>
      <c r="I115" s="396" t="s">
        <v>671</v>
      </c>
      <c r="J115" s="396" t="s">
        <v>671</v>
      </c>
      <c r="K115" s="396" t="s">
        <v>671</v>
      </c>
      <c r="L115" s="396" t="s">
        <v>671</v>
      </c>
      <c r="M115" s="396" t="s">
        <v>671</v>
      </c>
      <c r="N115" s="396" t="s">
        <v>671</v>
      </c>
      <c r="O115" s="396" t="s">
        <v>671</v>
      </c>
      <c r="P115" s="396" t="s">
        <v>671</v>
      </c>
      <c r="Q115" s="396" t="s">
        <v>671</v>
      </c>
      <c r="R115" s="396" t="s">
        <v>671</v>
      </c>
      <c r="S115" s="396" t="s">
        <v>671</v>
      </c>
      <c r="T115" s="396" t="s">
        <v>671</v>
      </c>
      <c r="U115" s="396" t="s">
        <v>671</v>
      </c>
      <c r="V115" s="396" t="s">
        <v>671</v>
      </c>
      <c r="W115" s="396" t="s">
        <v>671</v>
      </c>
      <c r="X115" s="800" t="s">
        <v>671</v>
      </c>
      <c r="Y115" s="3"/>
    </row>
    <row r="116" spans="1:25" ht="30.6" x14ac:dyDescent="0.25">
      <c r="A116" s="798" t="s">
        <v>1219</v>
      </c>
      <c r="B116" s="787" t="s">
        <v>1218</v>
      </c>
      <c r="C116" s="799" t="s">
        <v>225</v>
      </c>
      <c r="D116" s="799" t="s">
        <v>225</v>
      </c>
      <c r="E116" s="799" t="s">
        <v>225</v>
      </c>
      <c r="F116" s="799" t="s">
        <v>225</v>
      </c>
      <c r="G116" s="790"/>
      <c r="H116" s="790"/>
      <c r="I116" s="396" t="s">
        <v>671</v>
      </c>
      <c r="J116" s="396" t="s">
        <v>671</v>
      </c>
      <c r="K116" s="396" t="s">
        <v>671</v>
      </c>
      <c r="L116" s="396" t="s">
        <v>671</v>
      </c>
      <c r="M116" s="396" t="s">
        <v>671</v>
      </c>
      <c r="N116" s="396" t="s">
        <v>671</v>
      </c>
      <c r="O116" s="396" t="s">
        <v>671</v>
      </c>
      <c r="P116" s="396" t="s">
        <v>671</v>
      </c>
      <c r="Q116" s="396" t="s">
        <v>671</v>
      </c>
      <c r="R116" s="396" t="s">
        <v>671</v>
      </c>
      <c r="S116" s="396" t="s">
        <v>671</v>
      </c>
      <c r="T116" s="396" t="s">
        <v>671</v>
      </c>
      <c r="U116" s="396" t="s">
        <v>671</v>
      </c>
      <c r="V116" s="396" t="s">
        <v>671</v>
      </c>
      <c r="W116" s="396" t="s">
        <v>671</v>
      </c>
      <c r="X116" s="800" t="s">
        <v>671</v>
      </c>
      <c r="Y116" s="3"/>
    </row>
  </sheetData>
  <mergeCells count="49">
    <mergeCell ref="A7:X7"/>
    <mergeCell ref="A2:X2"/>
    <mergeCell ref="A3:X3"/>
    <mergeCell ref="A4:X4"/>
    <mergeCell ref="A5:X5"/>
    <mergeCell ref="A6:X6"/>
    <mergeCell ref="C9:F9"/>
    <mergeCell ref="I9:J9"/>
    <mergeCell ref="E8:I8"/>
    <mergeCell ref="A1:X1"/>
    <mergeCell ref="X9:X12"/>
    <mergeCell ref="M10:M12"/>
    <mergeCell ref="N10:N12"/>
    <mergeCell ref="O10:O12"/>
    <mergeCell ref="P10:P12"/>
    <mergeCell ref="K9:O9"/>
    <mergeCell ref="P9:Q9"/>
    <mergeCell ref="R9:R12"/>
    <mergeCell ref="S9:V9"/>
    <mergeCell ref="W9:W12"/>
    <mergeCell ref="L10:L12"/>
    <mergeCell ref="Q10:Q12"/>
    <mergeCell ref="S10:S12"/>
    <mergeCell ref="T10:T12"/>
    <mergeCell ref="U10:U12"/>
    <mergeCell ref="V10:V12"/>
    <mergeCell ref="A10:A12"/>
    <mergeCell ref="B10:B12"/>
    <mergeCell ref="C10:C12"/>
    <mergeCell ref="D10:D12"/>
    <mergeCell ref="E10:E12"/>
    <mergeCell ref="F10:F12"/>
    <mergeCell ref="B13:K13"/>
    <mergeCell ref="G10:G12"/>
    <mergeCell ref="H10:H12"/>
    <mergeCell ref="I10:I12"/>
    <mergeCell ref="J10:J12"/>
    <mergeCell ref="K10:K12"/>
    <mergeCell ref="B89:K89"/>
    <mergeCell ref="B14:K14"/>
    <mergeCell ref="B17:K17"/>
    <mergeCell ref="B20:K20"/>
    <mergeCell ref="B26:K26"/>
    <mergeCell ref="B88:K88"/>
    <mergeCell ref="B55:K55"/>
    <mergeCell ref="B60:K60"/>
    <mergeCell ref="B71:K71"/>
    <mergeCell ref="B78:K78"/>
    <mergeCell ref="B54:K54"/>
  </mergeCells>
  <pageMargins left="0.51181102362204722" right="0.51181102362204722" top="0.78740157480314965" bottom="0.78740157480314965" header="0.31496062992125984" footer="0.31496062992125984"/>
  <pageSetup paperSize="9" scale="46" orientation="landscape" horizontalDpi="0" verticalDpi="0"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216"/>
  <sheetViews>
    <sheetView tabSelected="1" view="pageBreakPreview" topLeftCell="B10" zoomScale="70" zoomScaleNormal="85" zoomScaleSheetLayoutView="70" workbookViewId="0">
      <pane xSplit="8" ySplit="3" topLeftCell="Q160" activePane="bottomRight" state="frozen"/>
      <selection activeCell="B10" sqref="B10"/>
      <selection pane="topRight" activeCell="J10" sqref="J10"/>
      <selection pane="bottomLeft" activeCell="B13" sqref="B13"/>
      <selection pane="bottomRight" activeCell="B10" sqref="B1:Y1048576"/>
    </sheetView>
  </sheetViews>
  <sheetFormatPr defaultColWidth="9.109375" defaultRowHeight="13.2" x14ac:dyDescent="0.25"/>
  <cols>
    <col min="1" max="1" width="9.109375" style="874"/>
    <col min="2" max="2" width="11.33203125" style="821" customWidth="1"/>
    <col min="3" max="3" width="56.33203125" style="3" customWidth="1"/>
    <col min="4" max="4" width="14.33203125" style="821" hidden="1" customWidth="1"/>
    <col min="5" max="5" width="13.109375" style="821" hidden="1" customWidth="1"/>
    <col min="6" max="6" width="15.5546875" style="821" hidden="1" customWidth="1"/>
    <col min="7" max="7" width="14.44140625" style="821" hidden="1" customWidth="1"/>
    <col min="8" max="8" width="10.6640625" style="3" hidden="1" customWidth="1"/>
    <col min="9" max="9" width="0.109375" style="3" hidden="1" customWidth="1"/>
    <col min="10" max="10" width="18.33203125" style="880" customWidth="1"/>
    <col min="11" max="11" width="25" style="23" customWidth="1"/>
    <col min="12" max="12" width="15.44140625" style="23" hidden="1" customWidth="1"/>
    <col min="13" max="13" width="12.44140625" style="23" hidden="1" customWidth="1"/>
    <col min="14" max="14" width="11.109375" style="23" hidden="1" customWidth="1"/>
    <col min="15" max="15" width="13.44140625" style="23" customWidth="1"/>
    <col min="16" max="16" width="13.109375" style="873" customWidth="1"/>
    <col min="17" max="17" width="11.44140625" style="23" customWidth="1"/>
    <col min="18" max="18" width="13.6640625" style="23" customWidth="1"/>
    <col min="19" max="19" width="11.6640625" style="23" hidden="1" customWidth="1"/>
    <col min="20" max="20" width="11.109375" style="23" hidden="1" customWidth="1"/>
    <col min="21" max="21" width="16.44140625" style="1029" customWidth="1"/>
    <col min="22" max="22" width="14.88671875" style="3" customWidth="1"/>
    <col min="23" max="23" width="14.5546875" style="3" customWidth="1"/>
    <col min="24" max="24" width="15" style="3" customWidth="1"/>
    <col min="25" max="25" width="14.44140625" style="821" bestFit="1" customWidth="1"/>
    <col min="26" max="26" width="13.33203125" style="1023" hidden="1" customWidth="1"/>
    <col min="27" max="27" width="17.6640625" style="1023" customWidth="1"/>
    <col min="28" max="28" width="11.5546875" style="3" customWidth="1"/>
    <col min="29" max="29" width="12.5546875" style="3" bestFit="1" customWidth="1"/>
    <col min="30" max="30" width="8.6640625" style="3" customWidth="1"/>
    <col min="31" max="31" width="17.5546875" style="3" customWidth="1"/>
    <col min="32" max="39" width="8.6640625" style="3" customWidth="1"/>
    <col min="40" max="16384" width="9.109375" style="3"/>
  </cols>
  <sheetData>
    <row r="1" spans="1:27" ht="22.8" x14ac:dyDescent="0.4">
      <c r="B1" s="899" t="s">
        <v>20</v>
      </c>
      <c r="C1" s="899"/>
      <c r="D1" s="899"/>
      <c r="E1" s="899"/>
      <c r="F1" s="899"/>
      <c r="G1" s="899"/>
      <c r="H1" s="899"/>
      <c r="I1" s="899"/>
      <c r="J1" s="899"/>
      <c r="K1" s="899"/>
      <c r="L1" s="899"/>
      <c r="M1" s="899"/>
      <c r="N1" s="899"/>
      <c r="O1" s="899"/>
      <c r="P1" s="899"/>
      <c r="Q1" s="899"/>
      <c r="R1" s="899"/>
      <c r="S1" s="899"/>
      <c r="T1" s="899"/>
      <c r="U1" s="899"/>
      <c r="V1" s="899"/>
      <c r="W1" s="899"/>
      <c r="X1" s="899"/>
      <c r="Y1" s="899"/>
    </row>
    <row r="2" spans="1:27" ht="17.399999999999999" x14ac:dyDescent="0.3">
      <c r="B2" s="901" t="s">
        <v>21</v>
      </c>
      <c r="C2" s="901"/>
      <c r="D2" s="901"/>
      <c r="E2" s="901"/>
      <c r="F2" s="901"/>
      <c r="G2" s="901"/>
      <c r="H2" s="901"/>
      <c r="I2" s="901"/>
      <c r="J2" s="901"/>
      <c r="K2" s="901"/>
      <c r="L2" s="901"/>
      <c r="M2" s="901"/>
      <c r="N2" s="901"/>
      <c r="O2" s="901"/>
      <c r="P2" s="901"/>
      <c r="Q2" s="901"/>
      <c r="R2" s="901"/>
      <c r="S2" s="901"/>
      <c r="T2" s="901"/>
      <c r="U2" s="901"/>
      <c r="V2" s="901"/>
      <c r="W2" s="901"/>
      <c r="X2" s="901"/>
      <c r="Y2" s="901"/>
    </row>
    <row r="3" spans="1:27" ht="17.399999999999999" x14ac:dyDescent="0.3">
      <c r="B3" s="901"/>
      <c r="C3" s="901"/>
      <c r="D3" s="901"/>
      <c r="E3" s="901"/>
      <c r="F3" s="901"/>
      <c r="G3" s="901"/>
      <c r="H3" s="901"/>
      <c r="I3" s="901"/>
      <c r="J3" s="901"/>
      <c r="K3" s="901"/>
      <c r="L3" s="901"/>
      <c r="M3" s="901"/>
      <c r="N3" s="901"/>
      <c r="O3" s="901"/>
      <c r="P3" s="901"/>
      <c r="Q3" s="901"/>
      <c r="R3" s="901"/>
      <c r="S3" s="901"/>
      <c r="T3" s="901"/>
      <c r="U3" s="901"/>
      <c r="V3" s="901"/>
      <c r="W3" s="901"/>
      <c r="X3" s="901"/>
      <c r="Y3" s="901"/>
    </row>
    <row r="4" spans="1:27" ht="15.6" x14ac:dyDescent="0.3">
      <c r="B4" s="902" t="s">
        <v>22</v>
      </c>
      <c r="C4" s="902"/>
      <c r="D4" s="902"/>
      <c r="E4" s="902"/>
      <c r="F4" s="902"/>
      <c r="G4" s="902"/>
      <c r="H4" s="902"/>
      <c r="I4" s="902"/>
      <c r="J4" s="902"/>
      <c r="K4" s="902"/>
      <c r="L4" s="902"/>
      <c r="M4" s="902"/>
      <c r="N4" s="902"/>
      <c r="O4" s="902"/>
      <c r="P4" s="902"/>
      <c r="Q4" s="902"/>
      <c r="R4" s="902"/>
      <c r="S4" s="902"/>
      <c r="T4" s="902"/>
      <c r="U4" s="902"/>
      <c r="V4" s="902"/>
      <c r="W4" s="902"/>
      <c r="X4" s="902"/>
      <c r="Y4" s="902"/>
    </row>
    <row r="5" spans="1:27" ht="15.6" x14ac:dyDescent="0.3">
      <c r="B5" s="1005"/>
      <c r="C5" s="1005"/>
      <c r="D5" s="1005"/>
      <c r="E5" s="1005"/>
      <c r="F5" s="1005"/>
      <c r="G5" s="1005"/>
      <c r="H5" s="1005"/>
      <c r="I5" s="1005"/>
      <c r="J5" s="1005"/>
      <c r="K5" s="1005"/>
      <c r="L5" s="1005"/>
      <c r="M5" s="1005"/>
      <c r="N5" s="1005"/>
      <c r="O5" s="1005"/>
      <c r="P5" s="1005"/>
      <c r="Q5" s="1005"/>
      <c r="R5" s="1005"/>
      <c r="S5" s="1005"/>
      <c r="T5" s="1005"/>
      <c r="U5" s="1005"/>
      <c r="V5" s="1005"/>
      <c r="W5" s="1005"/>
      <c r="X5" s="1005"/>
      <c r="Y5" s="1005"/>
    </row>
    <row r="6" spans="1:27" ht="15.75" customHeight="1" x14ac:dyDescent="0.25">
      <c r="B6" s="1004" t="s">
        <v>960</v>
      </c>
      <c r="C6" s="1004"/>
      <c r="D6" s="1004"/>
      <c r="E6" s="1004"/>
      <c r="F6" s="1004"/>
      <c r="G6" s="1004"/>
      <c r="H6" s="1004"/>
      <c r="I6" s="1004"/>
      <c r="J6" s="1004"/>
      <c r="K6" s="1004"/>
      <c r="L6" s="1004"/>
      <c r="M6" s="1004"/>
      <c r="N6" s="1004"/>
      <c r="O6" s="1004"/>
      <c r="P6" s="1004"/>
      <c r="Q6" s="1004"/>
      <c r="R6" s="1004"/>
      <c r="S6" s="1004"/>
      <c r="T6" s="1004"/>
      <c r="U6" s="1004"/>
      <c r="V6" s="1004"/>
      <c r="W6" s="1004"/>
      <c r="X6" s="1004"/>
      <c r="Y6" s="1004"/>
    </row>
    <row r="7" spans="1:27" ht="15.75" customHeight="1" x14ac:dyDescent="0.25">
      <c r="B7" s="1004" t="s">
        <v>961</v>
      </c>
      <c r="C7" s="1004"/>
      <c r="D7" s="1004"/>
      <c r="E7" s="1004"/>
      <c r="F7" s="1004"/>
      <c r="G7" s="1004"/>
      <c r="H7" s="1004"/>
      <c r="I7" s="1004"/>
      <c r="J7" s="1004"/>
      <c r="K7" s="1004"/>
      <c r="L7" s="1004"/>
      <c r="M7" s="1004"/>
      <c r="N7" s="1004"/>
      <c r="O7" s="1004"/>
      <c r="P7" s="1004"/>
      <c r="Q7" s="1004"/>
      <c r="R7" s="1004"/>
      <c r="S7" s="1004"/>
      <c r="T7" s="1004"/>
      <c r="U7" s="1004"/>
      <c r="V7" s="1004"/>
      <c r="W7" s="1004"/>
      <c r="X7" s="1004"/>
      <c r="Y7" s="1004"/>
    </row>
    <row r="8" spans="1:27" ht="15.6" x14ac:dyDescent="0.3">
      <c r="B8" s="841"/>
      <c r="C8" s="855"/>
      <c r="D8" s="855"/>
      <c r="E8" s="863"/>
      <c r="F8" s="1002"/>
      <c r="G8" s="1002"/>
      <c r="H8" s="1002"/>
      <c r="I8" s="1002"/>
      <c r="J8" s="1002"/>
      <c r="K8" s="857"/>
      <c r="L8" s="857"/>
      <c r="M8" s="857"/>
      <c r="N8" s="857"/>
      <c r="O8" s="857"/>
      <c r="P8" s="868"/>
      <c r="Q8" s="857"/>
      <c r="R8" s="857"/>
      <c r="S8" s="857"/>
      <c r="T8" s="857"/>
      <c r="U8" s="1030"/>
      <c r="V8" s="858"/>
      <c r="W8" s="858"/>
      <c r="X8" s="858"/>
      <c r="Y8" s="859"/>
    </row>
    <row r="9" spans="1:27" s="821" customFormat="1" ht="13.5" customHeight="1" x14ac:dyDescent="0.25">
      <c r="A9" s="875"/>
      <c r="B9" s="695" t="s">
        <v>1278</v>
      </c>
      <c r="C9" s="695"/>
      <c r="D9" s="980" t="s">
        <v>951</v>
      </c>
      <c r="E9" s="980"/>
      <c r="F9" s="980"/>
      <c r="G9" s="980"/>
      <c r="H9" s="695"/>
      <c r="I9" s="695"/>
      <c r="J9" s="980" t="s">
        <v>952</v>
      </c>
      <c r="K9" s="980"/>
      <c r="L9" s="1003" t="s">
        <v>953</v>
      </c>
      <c r="M9" s="1003"/>
      <c r="N9" s="1003"/>
      <c r="O9" s="1003"/>
      <c r="P9" s="1003"/>
      <c r="Q9" s="1003" t="s">
        <v>377</v>
      </c>
      <c r="R9" s="1003"/>
      <c r="S9" s="982" t="s">
        <v>970</v>
      </c>
      <c r="T9" s="1003" t="s">
        <v>954</v>
      </c>
      <c r="U9" s="1003"/>
      <c r="V9" s="1003"/>
      <c r="W9" s="1003"/>
      <c r="X9" s="982" t="s">
        <v>975</v>
      </c>
      <c r="Y9" s="1015" t="s">
        <v>10</v>
      </c>
      <c r="Z9" s="982" t="s">
        <v>1628</v>
      </c>
      <c r="AA9" s="982" t="s">
        <v>1625</v>
      </c>
    </row>
    <row r="10" spans="1:27" ht="12.75" customHeight="1" x14ac:dyDescent="0.25">
      <c r="B10" s="984" t="s">
        <v>1104</v>
      </c>
      <c r="C10" s="985" t="s">
        <v>9</v>
      </c>
      <c r="D10" s="982" t="s">
        <v>962</v>
      </c>
      <c r="E10" s="982" t="s">
        <v>955</v>
      </c>
      <c r="F10" s="982" t="s">
        <v>963</v>
      </c>
      <c r="G10" s="982" t="s">
        <v>964</v>
      </c>
      <c r="H10" s="982"/>
      <c r="I10" s="982" t="s">
        <v>12</v>
      </c>
      <c r="J10" s="987" t="s">
        <v>965</v>
      </c>
      <c r="K10" s="987" t="s">
        <v>956</v>
      </c>
      <c r="L10" s="982" t="s">
        <v>962</v>
      </c>
      <c r="M10" s="982" t="s">
        <v>966</v>
      </c>
      <c r="N10" s="982" t="s">
        <v>957</v>
      </c>
      <c r="O10" s="982" t="s">
        <v>967</v>
      </c>
      <c r="P10" s="1006" t="s">
        <v>968</v>
      </c>
      <c r="Q10" s="982" t="s">
        <v>958</v>
      </c>
      <c r="R10" s="982" t="s">
        <v>969</v>
      </c>
      <c r="S10" s="982"/>
      <c r="T10" s="982" t="s">
        <v>971</v>
      </c>
      <c r="U10" s="982" t="s">
        <v>972</v>
      </c>
      <c r="V10" s="984" t="s">
        <v>1391</v>
      </c>
      <c r="W10" s="984" t="s">
        <v>1392</v>
      </c>
      <c r="X10" s="982"/>
      <c r="Y10" s="1015"/>
      <c r="Z10" s="982"/>
      <c r="AA10" s="982"/>
    </row>
    <row r="11" spans="1:27" x14ac:dyDescent="0.25">
      <c r="B11" s="984"/>
      <c r="C11" s="985"/>
      <c r="D11" s="982"/>
      <c r="E11" s="982"/>
      <c r="F11" s="982"/>
      <c r="G11" s="982"/>
      <c r="H11" s="982"/>
      <c r="I11" s="982"/>
      <c r="J11" s="987"/>
      <c r="K11" s="987"/>
      <c r="L11" s="982"/>
      <c r="M11" s="982"/>
      <c r="N11" s="982"/>
      <c r="O11" s="982"/>
      <c r="P11" s="1006"/>
      <c r="Q11" s="982"/>
      <c r="R11" s="982"/>
      <c r="S11" s="982"/>
      <c r="T11" s="982"/>
      <c r="U11" s="982"/>
      <c r="V11" s="984"/>
      <c r="W11" s="984"/>
      <c r="X11" s="982"/>
      <c r="Y11" s="1015"/>
      <c r="Z11" s="982"/>
      <c r="AA11" s="982"/>
    </row>
    <row r="12" spans="1:27" ht="24.75" customHeight="1" x14ac:dyDescent="0.25">
      <c r="B12" s="984"/>
      <c r="C12" s="985"/>
      <c r="D12" s="982"/>
      <c r="E12" s="982"/>
      <c r="F12" s="982"/>
      <c r="G12" s="982"/>
      <c r="H12" s="982"/>
      <c r="I12" s="982"/>
      <c r="J12" s="987"/>
      <c r="K12" s="987"/>
      <c r="L12" s="982"/>
      <c r="M12" s="982"/>
      <c r="N12" s="982"/>
      <c r="O12" s="982"/>
      <c r="P12" s="1006"/>
      <c r="Q12" s="982"/>
      <c r="R12" s="982"/>
      <c r="S12" s="982"/>
      <c r="T12" s="982"/>
      <c r="U12" s="982"/>
      <c r="V12" s="984"/>
      <c r="W12" s="984"/>
      <c r="X12" s="982"/>
      <c r="Y12" s="1015"/>
      <c r="Z12" s="982"/>
      <c r="AA12" s="982"/>
    </row>
    <row r="13" spans="1:27" ht="22.8" x14ac:dyDescent="0.4">
      <c r="B13" s="822"/>
      <c r="C13" s="860"/>
      <c r="D13" s="861"/>
      <c r="E13" s="861"/>
      <c r="F13" s="861"/>
      <c r="G13" s="861"/>
      <c r="H13" s="861"/>
      <c r="I13" s="861"/>
      <c r="J13" s="879"/>
      <c r="K13" s="861"/>
      <c r="L13" s="862"/>
      <c r="M13" s="890"/>
      <c r="N13" s="890"/>
      <c r="O13" s="1031"/>
      <c r="P13" s="869"/>
      <c r="Q13" s="890"/>
      <c r="R13" s="890"/>
      <c r="S13" s="890"/>
      <c r="T13" s="890"/>
      <c r="U13" s="890"/>
      <c r="V13" s="810"/>
      <c r="W13" s="811"/>
      <c r="X13" s="811"/>
      <c r="Y13" s="1016"/>
    </row>
    <row r="14" spans="1:27" s="865" customFormat="1" ht="22.8" x14ac:dyDescent="0.4">
      <c r="A14" s="876"/>
      <c r="B14" s="828"/>
      <c r="C14" s="996" t="s">
        <v>1030</v>
      </c>
      <c r="D14" s="996"/>
      <c r="E14" s="996"/>
      <c r="F14" s="996"/>
      <c r="G14" s="996"/>
      <c r="H14" s="996"/>
      <c r="I14" s="996"/>
      <c r="J14" s="996"/>
      <c r="K14" s="996"/>
      <c r="L14" s="996"/>
      <c r="M14" s="891"/>
      <c r="N14" s="891"/>
      <c r="O14" s="1031"/>
      <c r="P14" s="870"/>
      <c r="Q14" s="891"/>
      <c r="R14" s="891"/>
      <c r="S14" s="891"/>
      <c r="T14" s="891"/>
      <c r="U14" s="891"/>
      <c r="V14" s="864"/>
      <c r="W14" s="786"/>
      <c r="X14" s="786"/>
      <c r="Y14" s="1017"/>
      <c r="Z14" s="1024"/>
      <c r="AA14" s="1024"/>
    </row>
    <row r="15" spans="1:27" s="124" customFormat="1" ht="99" customHeight="1" x14ac:dyDescent="0.25">
      <c r="A15" s="877"/>
      <c r="B15" s="798" t="s">
        <v>45</v>
      </c>
      <c r="C15" s="787" t="s">
        <v>42</v>
      </c>
      <c r="D15" s="885" t="s">
        <v>19</v>
      </c>
      <c r="E15" s="885" t="s">
        <v>19</v>
      </c>
      <c r="F15" s="885" t="s">
        <v>19</v>
      </c>
      <c r="G15" s="885" t="s">
        <v>19</v>
      </c>
      <c r="H15" s="709"/>
      <c r="I15" s="709"/>
      <c r="J15" s="435" t="s">
        <v>1031</v>
      </c>
      <c r="K15" s="397" t="s">
        <v>1032</v>
      </c>
      <c r="L15" s="885" t="s">
        <v>41</v>
      </c>
      <c r="M15" s="791">
        <v>40641</v>
      </c>
      <c r="N15" s="435" t="s">
        <v>1033</v>
      </c>
      <c r="O15" s="1031">
        <v>955272.36</v>
      </c>
      <c r="P15" s="893" t="str">
        <f>Y15</f>
        <v>PARALISADA</v>
      </c>
      <c r="Q15" s="397" t="s">
        <v>1117</v>
      </c>
      <c r="R15" s="722" t="s">
        <v>977</v>
      </c>
      <c r="S15" s="722" t="s">
        <v>977</v>
      </c>
      <c r="T15" s="397" t="s">
        <v>995</v>
      </c>
      <c r="U15" s="886">
        <f>227281.93+80906.37+23382.66+61206.89+56875.97+1099638.87</f>
        <v>1549292.69</v>
      </c>
      <c r="V15" s="886">
        <f>0</f>
        <v>0</v>
      </c>
      <c r="W15" s="886">
        <v>0</v>
      </c>
      <c r="X15" s="886">
        <f>100000+100000+49000+200653.82</f>
        <v>449653.82</v>
      </c>
      <c r="Y15" s="1032" t="s">
        <v>1038</v>
      </c>
      <c r="Z15" s="1023"/>
      <c r="AA15" s="1023"/>
    </row>
    <row r="16" spans="1:27" s="124" customFormat="1" ht="20.399999999999999" x14ac:dyDescent="0.25">
      <c r="A16" s="877"/>
      <c r="B16" s="798" t="s">
        <v>138</v>
      </c>
      <c r="C16" s="787" t="s">
        <v>120</v>
      </c>
      <c r="D16" s="885" t="s">
        <v>1054</v>
      </c>
      <c r="E16" s="885" t="s">
        <v>143</v>
      </c>
      <c r="F16" s="789">
        <v>2000000</v>
      </c>
      <c r="G16" s="829" t="s">
        <v>644</v>
      </c>
      <c r="H16" s="709"/>
      <c r="I16" s="709"/>
      <c r="J16" s="435" t="s">
        <v>1031</v>
      </c>
      <c r="K16" s="397" t="s">
        <v>1032</v>
      </c>
      <c r="L16" s="885" t="s">
        <v>204</v>
      </c>
      <c r="M16" s="791">
        <v>41477</v>
      </c>
      <c r="N16" s="435" t="s">
        <v>1034</v>
      </c>
      <c r="O16" s="886">
        <v>1991023.52</v>
      </c>
      <c r="P16" s="893" t="str">
        <f>Y16</f>
        <v>DISTRATADA</v>
      </c>
      <c r="Q16" s="397" t="s">
        <v>1118</v>
      </c>
      <c r="R16" s="722">
        <f>7109.21</f>
        <v>7109.21</v>
      </c>
      <c r="S16" s="722" t="s">
        <v>977</v>
      </c>
      <c r="T16" s="397" t="s">
        <v>995</v>
      </c>
      <c r="U16" s="886">
        <f>35015.19+57014.08+42469.58+17086.18+33745.21</f>
        <v>185330.24</v>
      </c>
      <c r="V16" s="886">
        <v>0</v>
      </c>
      <c r="W16" s="886">
        <v>0</v>
      </c>
      <c r="X16" s="886">
        <f>17086.18+33745.21+57014.08+42469.58</f>
        <v>150315.04999999999</v>
      </c>
      <c r="Y16" s="1032" t="s">
        <v>1387</v>
      </c>
      <c r="Z16" s="1023"/>
      <c r="AA16" s="1023"/>
    </row>
    <row r="17" spans="1:27" s="865" customFormat="1" ht="22.8" x14ac:dyDescent="0.4">
      <c r="A17" s="876"/>
      <c r="B17" s="828"/>
      <c r="C17" s="996" t="s">
        <v>1035</v>
      </c>
      <c r="D17" s="996"/>
      <c r="E17" s="996"/>
      <c r="F17" s="996"/>
      <c r="G17" s="996"/>
      <c r="H17" s="996"/>
      <c r="I17" s="996"/>
      <c r="J17" s="996"/>
      <c r="K17" s="996"/>
      <c r="L17" s="996"/>
      <c r="M17" s="891"/>
      <c r="N17" s="891"/>
      <c r="O17" s="891"/>
      <c r="P17" s="870"/>
      <c r="Q17" s="891"/>
      <c r="R17" s="891"/>
      <c r="S17" s="891"/>
      <c r="T17" s="891"/>
      <c r="U17" s="891"/>
      <c r="V17" s="864"/>
      <c r="W17" s="786"/>
      <c r="X17" s="786"/>
      <c r="Y17" s="1017"/>
      <c r="Z17" s="1024"/>
      <c r="AA17" s="1024"/>
    </row>
    <row r="18" spans="1:27" s="124" customFormat="1" ht="79.2" customHeight="1" x14ac:dyDescent="0.25">
      <c r="A18" s="877"/>
      <c r="B18" s="798" t="s">
        <v>260</v>
      </c>
      <c r="C18" s="814" t="s">
        <v>165</v>
      </c>
      <c r="D18" s="798" t="s">
        <v>1086</v>
      </c>
      <c r="E18" s="885" t="s">
        <v>107</v>
      </c>
      <c r="F18" s="789">
        <v>3163400</v>
      </c>
      <c r="G18" s="789">
        <v>131808.32999999999</v>
      </c>
      <c r="H18" s="709"/>
      <c r="I18" s="709"/>
      <c r="J18" s="435" t="s">
        <v>1410</v>
      </c>
      <c r="K18" s="397" t="s">
        <v>1037</v>
      </c>
      <c r="L18" s="885" t="s">
        <v>278</v>
      </c>
      <c r="M18" s="791">
        <v>41164</v>
      </c>
      <c r="N18" s="397" t="s">
        <v>1382</v>
      </c>
      <c r="O18" s="886">
        <v>3224157.7</v>
      </c>
      <c r="P18" s="793" t="str">
        <f>Y18</f>
        <v>EM ANDAMENTO</v>
      </c>
      <c r="Q18" s="397" t="s">
        <v>1119</v>
      </c>
      <c r="R18" s="722">
        <v>133644.56</v>
      </c>
      <c r="S18" s="722" t="s">
        <v>977</v>
      </c>
      <c r="T18" s="397" t="s">
        <v>995</v>
      </c>
      <c r="U18" s="886">
        <f>721758.03+133644.56+665499.85+289378.95+467988.17+82480.29+85567.2+177848.36</f>
        <v>2624165.41</v>
      </c>
      <c r="V18" s="886">
        <v>0</v>
      </c>
      <c r="W18" s="886">
        <f>281296.11</f>
        <v>281296.11</v>
      </c>
      <c r="X18" s="886">
        <f>665499.85+721758.03+277803.79+11575.16+18719.53+449268.64+79181.08+W18</f>
        <v>2505102.19</v>
      </c>
      <c r="Y18" s="1032" t="s">
        <v>641</v>
      </c>
      <c r="Z18" s="1023"/>
      <c r="AA18" s="1023"/>
    </row>
    <row r="19" spans="1:27" s="124" customFormat="1" ht="30.6" x14ac:dyDescent="0.25">
      <c r="A19" s="877"/>
      <c r="B19" s="798" t="s">
        <v>299</v>
      </c>
      <c r="C19" s="787" t="s">
        <v>181</v>
      </c>
      <c r="D19" s="830" t="s">
        <v>1041</v>
      </c>
      <c r="E19" s="885" t="s">
        <v>199</v>
      </c>
      <c r="F19" s="789">
        <v>2710000</v>
      </c>
      <c r="G19" s="789">
        <v>296310</v>
      </c>
      <c r="H19" s="709"/>
      <c r="I19" s="709"/>
      <c r="J19" s="435" t="s">
        <v>1039</v>
      </c>
      <c r="K19" s="397" t="s">
        <v>1040</v>
      </c>
      <c r="L19" s="885" t="s">
        <v>308</v>
      </c>
      <c r="M19" s="791">
        <v>41309</v>
      </c>
      <c r="N19" s="435" t="s">
        <v>1034</v>
      </c>
      <c r="O19" s="886">
        <v>2635231.1</v>
      </c>
      <c r="P19" s="793" t="str">
        <f>Y19</f>
        <v>PARALISADA</v>
      </c>
      <c r="Q19" s="397" t="s">
        <v>1393</v>
      </c>
      <c r="R19" s="397" t="s">
        <v>1274</v>
      </c>
      <c r="S19" s="722" t="s">
        <v>977</v>
      </c>
      <c r="T19" s="397" t="s">
        <v>995</v>
      </c>
      <c r="U19" s="886">
        <f>89274+72132.63+79987.93+113090.04+425803.43+148808.79+72729.91+47259.06+79905.69+107488.87+107017.46+103765+110971.63+125892.05+98728.78+89320.88+94591.41+161553.31+84762.81</f>
        <v>2213083.6799999997</v>
      </c>
      <c r="V19" s="886">
        <v>0</v>
      </c>
      <c r="W19" s="886">
        <f>76107.9+8654.91</f>
        <v>84762.81</v>
      </c>
      <c r="X19" s="886">
        <f>89274+72132.63+72104.1+7883.83+101943.58+11146.46+41968.33+383835.1+14666.99+134141.8+47259.06+72729.91+79905.69+107488.87+103765+107017.46+13517.16+97454.47+113483.79+12408.26+88997.81+9730.97+8803.71+80517.17+85268.23+9323.18+15923.14+145630.17+76107.9+8654.91</f>
        <v>2213083.6799999997</v>
      </c>
      <c r="Y19" s="1032" t="s">
        <v>1038</v>
      </c>
      <c r="Z19" s="886"/>
      <c r="AA19" s="886"/>
    </row>
    <row r="20" spans="1:27" s="865" customFormat="1" ht="22.8" x14ac:dyDescent="0.4">
      <c r="A20" s="876"/>
      <c r="B20" s="828"/>
      <c r="C20" s="996" t="s">
        <v>1042</v>
      </c>
      <c r="D20" s="996"/>
      <c r="E20" s="996"/>
      <c r="F20" s="996"/>
      <c r="G20" s="996"/>
      <c r="H20" s="996"/>
      <c r="I20" s="996"/>
      <c r="J20" s="996"/>
      <c r="K20" s="996"/>
      <c r="L20" s="996"/>
      <c r="M20" s="891"/>
      <c r="N20" s="891"/>
      <c r="O20" s="891"/>
      <c r="P20" s="870"/>
      <c r="Q20" s="891"/>
      <c r="R20" s="891"/>
      <c r="S20" s="891"/>
      <c r="T20" s="891"/>
      <c r="U20" s="891"/>
      <c r="V20" s="866"/>
      <c r="W20" s="786"/>
      <c r="X20" s="786"/>
      <c r="Y20" s="1017"/>
      <c r="Z20" s="1024"/>
      <c r="AA20" s="1024"/>
    </row>
    <row r="21" spans="1:27" s="124" customFormat="1" ht="30.6" x14ac:dyDescent="0.25">
      <c r="A21" s="877"/>
      <c r="B21" s="798" t="s">
        <v>311</v>
      </c>
      <c r="C21" s="814" t="s">
        <v>312</v>
      </c>
      <c r="D21" s="887" t="s">
        <v>1043</v>
      </c>
      <c r="E21" s="885" t="s">
        <v>1044</v>
      </c>
      <c r="F21" s="789">
        <v>1500000</v>
      </c>
      <c r="G21" s="789">
        <v>147167.51999999999</v>
      </c>
      <c r="H21" s="709"/>
      <c r="I21" s="709"/>
      <c r="J21" s="435" t="s">
        <v>1039</v>
      </c>
      <c r="K21" s="397" t="s">
        <v>1040</v>
      </c>
      <c r="L21" s="885" t="s">
        <v>309</v>
      </c>
      <c r="M21" s="791">
        <v>41409</v>
      </c>
      <c r="N21" s="435" t="s">
        <v>1002</v>
      </c>
      <c r="O21" s="886">
        <v>1647667.52</v>
      </c>
      <c r="P21" s="796" t="str">
        <f t="shared" ref="P21:P22" si="0">Y21</f>
        <v>Distrato dia 19/03/2015</v>
      </c>
      <c r="Q21" s="397" t="s">
        <v>1045</v>
      </c>
      <c r="R21" s="722">
        <v>-2750.31</v>
      </c>
      <c r="S21" s="722" t="s">
        <v>977</v>
      </c>
      <c r="T21" s="397" t="s">
        <v>995</v>
      </c>
      <c r="U21" s="886">
        <f>319285.56+124849.07+69118.92</f>
        <v>513253.55</v>
      </c>
      <c r="V21" s="886">
        <v>0</v>
      </c>
      <c r="W21" s="886">
        <v>0</v>
      </c>
      <c r="X21" s="886">
        <f>29025.96+290569.6+113499.16+11349.91</f>
        <v>444444.62999999995</v>
      </c>
      <c r="Y21" s="1033" t="s">
        <v>1046</v>
      </c>
      <c r="Z21" s="1023"/>
      <c r="AA21" s="1023"/>
    </row>
    <row r="22" spans="1:27" s="124" customFormat="1" ht="30.6" x14ac:dyDescent="0.25">
      <c r="A22" s="877"/>
      <c r="B22" s="798" t="s">
        <v>314</v>
      </c>
      <c r="C22" s="787" t="s">
        <v>373</v>
      </c>
      <c r="D22" s="887" t="s">
        <v>1048</v>
      </c>
      <c r="E22" s="885" t="s">
        <v>1047</v>
      </c>
      <c r="F22" s="789">
        <v>1422593.66</v>
      </c>
      <c r="G22" s="789">
        <v>256438.78</v>
      </c>
      <c r="H22" s="709"/>
      <c r="I22" s="709"/>
      <c r="J22" s="435" t="s">
        <v>1000</v>
      </c>
      <c r="K22" s="397" t="s">
        <v>554</v>
      </c>
      <c r="L22" s="885" t="s">
        <v>315</v>
      </c>
      <c r="M22" s="791">
        <v>41484</v>
      </c>
      <c r="N22" s="435" t="s">
        <v>1002</v>
      </c>
      <c r="O22" s="886">
        <v>1652066.62</v>
      </c>
      <c r="P22" s="796" t="str">
        <f t="shared" si="0"/>
        <v>EM ANDAMENTO</v>
      </c>
      <c r="Q22" s="397" t="s">
        <v>1045</v>
      </c>
      <c r="R22" s="722" t="s">
        <v>977</v>
      </c>
      <c r="S22" s="722" t="s">
        <v>977</v>
      </c>
      <c r="T22" s="397" t="s">
        <v>995</v>
      </c>
      <c r="U22" s="886">
        <f>119719.93+104703.75+257683.2+115743.43+230765.69+100331.58+36084.48+41282.05+50038.8+50039.03+53747.36+38233.13+54573.94+59533.24+19856.54+25092.83+25522.78+25054.03+24712.95</f>
        <v>1432718.74</v>
      </c>
      <c r="V22" s="886">
        <v>0</v>
      </c>
      <c r="W22" s="886">
        <f>53747.36+38233.13+54573.94+25000+25000+19856.54+9533.24+25522.28+25054.03+24712.95</f>
        <v>301233.47000000003</v>
      </c>
      <c r="X22" s="886">
        <f>119719.93+104703.75+257683.2+115743.43+230765.69+100331.58+36084.48+41282.05+50038.8+50039.03+W22</f>
        <v>1407625.41</v>
      </c>
      <c r="Y22" s="1034" t="s">
        <v>641</v>
      </c>
      <c r="Z22" s="1023"/>
      <c r="AA22" s="1023"/>
    </row>
    <row r="23" spans="1:27" s="124" customFormat="1" ht="51" x14ac:dyDescent="0.25">
      <c r="A23" s="877"/>
      <c r="B23" s="798" t="s">
        <v>367</v>
      </c>
      <c r="C23" s="787" t="s">
        <v>353</v>
      </c>
      <c r="D23" s="885" t="s">
        <v>225</v>
      </c>
      <c r="E23" s="885" t="s">
        <v>225</v>
      </c>
      <c r="F23" s="885" t="s">
        <v>225</v>
      </c>
      <c r="G23" s="885" t="s">
        <v>225</v>
      </c>
      <c r="H23" s="709"/>
      <c r="I23" s="709"/>
      <c r="J23" s="435" t="s">
        <v>1049</v>
      </c>
      <c r="K23" s="397" t="s">
        <v>1050</v>
      </c>
      <c r="L23" s="885" t="s">
        <v>357</v>
      </c>
      <c r="M23" s="791">
        <v>41603</v>
      </c>
      <c r="N23" s="435" t="s">
        <v>976</v>
      </c>
      <c r="O23" s="886">
        <v>453625.21</v>
      </c>
      <c r="P23" s="791">
        <v>41802</v>
      </c>
      <c r="Q23" s="396" t="s">
        <v>1115</v>
      </c>
      <c r="R23" s="435">
        <v>120337.43</v>
      </c>
      <c r="S23" s="722" t="s">
        <v>977</v>
      </c>
      <c r="T23" s="397" t="s">
        <v>995</v>
      </c>
      <c r="U23" s="886">
        <f>129214.62+52708.1+52708.1+112601.28+112999.2</f>
        <v>460231.3</v>
      </c>
      <c r="V23" s="886">
        <v>0</v>
      </c>
      <c r="W23" s="886">
        <v>0</v>
      </c>
      <c r="X23" s="886">
        <f>129214.62+52708.1+52708.1+112601.28+112999.2</f>
        <v>460231.3</v>
      </c>
      <c r="Y23" s="1018" t="s">
        <v>1365</v>
      </c>
      <c r="Z23" s="1023"/>
      <c r="AA23" s="1023"/>
    </row>
    <row r="24" spans="1:27" s="124" customFormat="1" ht="51" x14ac:dyDescent="0.25">
      <c r="A24" s="877"/>
      <c r="B24" s="798" t="s">
        <v>368</v>
      </c>
      <c r="C24" s="787" t="s">
        <v>354</v>
      </c>
      <c r="D24" s="885" t="s">
        <v>225</v>
      </c>
      <c r="E24" s="885" t="s">
        <v>225</v>
      </c>
      <c r="F24" s="885" t="s">
        <v>225</v>
      </c>
      <c r="G24" s="885" t="s">
        <v>225</v>
      </c>
      <c r="H24" s="709"/>
      <c r="I24" s="709"/>
      <c r="J24" s="435" t="s">
        <v>1049</v>
      </c>
      <c r="K24" s="397" t="s">
        <v>1050</v>
      </c>
      <c r="L24" s="885" t="s">
        <v>358</v>
      </c>
      <c r="M24" s="791">
        <v>41607</v>
      </c>
      <c r="N24" s="435" t="s">
        <v>1002</v>
      </c>
      <c r="O24" s="886">
        <v>665653.39</v>
      </c>
      <c r="P24" s="791">
        <v>42173</v>
      </c>
      <c r="Q24" s="397" t="s">
        <v>1121</v>
      </c>
      <c r="R24" s="722" t="s">
        <v>977</v>
      </c>
      <c r="S24" s="722" t="s">
        <v>977</v>
      </c>
      <c r="T24" s="397" t="s">
        <v>995</v>
      </c>
      <c r="U24" s="886">
        <f>35686.81+30527.68+16041.8+37727.51+30163.69+107778.37+88545.99+34102.83+29529.55+37779.72+45957.19</f>
        <v>493841.13999999996</v>
      </c>
      <c r="V24" s="886">
        <v>0</v>
      </c>
      <c r="W24" s="886">
        <v>0</v>
      </c>
      <c r="X24" s="886">
        <f>35686.81+30527.68+16041.8+37727.51+20000+10163.69+97000+10778.37+85545.99+31000+29529.55+37779.72+45957.19</f>
        <v>487738.31</v>
      </c>
      <c r="Y24" s="1018" t="s">
        <v>1365</v>
      </c>
      <c r="Z24" s="886"/>
      <c r="AA24" s="1023"/>
    </row>
    <row r="25" spans="1:27" ht="22.8" x14ac:dyDescent="0.4">
      <c r="B25" s="822"/>
      <c r="C25" s="889"/>
      <c r="D25" s="831"/>
      <c r="E25" s="831"/>
      <c r="F25" s="831"/>
      <c r="G25" s="831"/>
      <c r="H25" s="889"/>
      <c r="I25" s="889"/>
      <c r="J25" s="889"/>
      <c r="K25" s="889"/>
      <c r="L25" s="890"/>
      <c r="M25" s="890"/>
      <c r="N25" s="890"/>
      <c r="O25" s="890"/>
      <c r="P25" s="869"/>
      <c r="Q25" s="890"/>
      <c r="R25" s="890"/>
      <c r="S25" s="890"/>
      <c r="T25" s="890"/>
      <c r="U25" s="890"/>
      <c r="V25" s="810"/>
      <c r="W25" s="811"/>
      <c r="X25" s="811"/>
      <c r="Y25" s="1016"/>
    </row>
    <row r="26" spans="1:27" s="865" customFormat="1" ht="22.8" x14ac:dyDescent="0.4">
      <c r="A26" s="876"/>
      <c r="B26" s="828"/>
      <c r="C26" s="996" t="s">
        <v>1051</v>
      </c>
      <c r="D26" s="996"/>
      <c r="E26" s="996"/>
      <c r="F26" s="996"/>
      <c r="G26" s="996"/>
      <c r="H26" s="996"/>
      <c r="I26" s="996"/>
      <c r="J26" s="996"/>
      <c r="K26" s="996"/>
      <c r="L26" s="996"/>
      <c r="M26" s="891"/>
      <c r="N26" s="891"/>
      <c r="O26" s="891"/>
      <c r="P26" s="870"/>
      <c r="Q26" s="891"/>
      <c r="R26" s="891"/>
      <c r="S26" s="891"/>
      <c r="T26" s="891"/>
      <c r="U26" s="891"/>
      <c r="V26" s="864"/>
      <c r="W26" s="786"/>
      <c r="X26" s="786"/>
      <c r="Y26" s="1017"/>
      <c r="Z26" s="1024"/>
      <c r="AA26" s="1024"/>
    </row>
    <row r="27" spans="1:27" s="124" customFormat="1" ht="51" x14ac:dyDescent="0.25">
      <c r="A27" s="877"/>
      <c r="B27" s="798" t="s">
        <v>385</v>
      </c>
      <c r="C27" s="787" t="s">
        <v>381</v>
      </c>
      <c r="D27" s="885" t="s">
        <v>225</v>
      </c>
      <c r="E27" s="885" t="s">
        <v>225</v>
      </c>
      <c r="F27" s="885" t="s">
        <v>225</v>
      </c>
      <c r="G27" s="885" t="s">
        <v>225</v>
      </c>
      <c r="H27" s="709"/>
      <c r="I27" s="709"/>
      <c r="J27" s="435" t="s">
        <v>1031</v>
      </c>
      <c r="K27" s="397" t="s">
        <v>1032</v>
      </c>
      <c r="L27" s="885" t="s">
        <v>383</v>
      </c>
      <c r="M27" s="791">
        <v>41715</v>
      </c>
      <c r="N27" s="435" t="s">
        <v>990</v>
      </c>
      <c r="O27" s="397" t="s">
        <v>404</v>
      </c>
      <c r="P27" s="871" t="s">
        <v>1052</v>
      </c>
      <c r="Q27" s="397" t="s">
        <v>1053</v>
      </c>
      <c r="R27" s="435">
        <v>36321.42</v>
      </c>
      <c r="S27" s="722" t="s">
        <v>977</v>
      </c>
      <c r="T27" s="397">
        <v>44905100</v>
      </c>
      <c r="U27" s="886">
        <f>135110.6+121378.11+87120.45+124557.93</f>
        <v>468167.09</v>
      </c>
      <c r="V27" s="789">
        <v>0</v>
      </c>
      <c r="W27" s="886">
        <v>0</v>
      </c>
      <c r="X27" s="886">
        <f>124557.93+135110.6+121378.11+87120.45</f>
        <v>468167.09</v>
      </c>
      <c r="Y27" s="1018" t="s">
        <v>1038</v>
      </c>
      <c r="Z27" s="1023"/>
      <c r="AA27" s="1023"/>
    </row>
    <row r="28" spans="1:27" s="124" customFormat="1" ht="51" customHeight="1" x14ac:dyDescent="0.25">
      <c r="A28" s="877"/>
      <c r="B28" s="798" t="s">
        <v>393</v>
      </c>
      <c r="C28" s="787" t="s">
        <v>584</v>
      </c>
      <c r="D28" s="885" t="s">
        <v>225</v>
      </c>
      <c r="E28" s="885" t="s">
        <v>225</v>
      </c>
      <c r="F28" s="885" t="s">
        <v>225</v>
      </c>
      <c r="G28" s="885" t="s">
        <v>225</v>
      </c>
      <c r="H28" s="709"/>
      <c r="I28" s="709"/>
      <c r="J28" s="435" t="s">
        <v>1055</v>
      </c>
      <c r="K28" s="397" t="s">
        <v>1056</v>
      </c>
      <c r="L28" s="885" t="s">
        <v>392</v>
      </c>
      <c r="M28" s="791">
        <v>41738</v>
      </c>
      <c r="N28" s="435" t="s">
        <v>984</v>
      </c>
      <c r="O28" s="397" t="s">
        <v>576</v>
      </c>
      <c r="P28" s="871" t="s">
        <v>1057</v>
      </c>
      <c r="Q28" s="396" t="s">
        <v>1116</v>
      </c>
      <c r="R28" s="722" t="s">
        <v>977</v>
      </c>
      <c r="S28" s="722" t="s">
        <v>977</v>
      </c>
      <c r="T28" s="397">
        <v>44905100</v>
      </c>
      <c r="U28" s="886">
        <v>119954.4</v>
      </c>
      <c r="V28" s="789">
        <v>0</v>
      </c>
      <c r="W28" s="886">
        <f>V28</f>
        <v>0</v>
      </c>
      <c r="X28" s="886">
        <f>W28</f>
        <v>0</v>
      </c>
      <c r="Y28" s="1018" t="s">
        <v>1365</v>
      </c>
      <c r="Z28" s="1023"/>
      <c r="AA28" s="1023"/>
    </row>
    <row r="29" spans="1:27" s="124" customFormat="1" ht="20.399999999999999" x14ac:dyDescent="0.25">
      <c r="A29" s="877"/>
      <c r="B29" s="798" t="s">
        <v>394</v>
      </c>
      <c r="C29" s="787" t="s">
        <v>410</v>
      </c>
      <c r="D29" s="885" t="s">
        <v>225</v>
      </c>
      <c r="E29" s="885" t="s">
        <v>225</v>
      </c>
      <c r="F29" s="885" t="s">
        <v>225</v>
      </c>
      <c r="G29" s="885" t="s">
        <v>225</v>
      </c>
      <c r="H29" s="709"/>
      <c r="I29" s="709"/>
      <c r="J29" s="435" t="s">
        <v>926</v>
      </c>
      <c r="K29" s="397" t="s">
        <v>549</v>
      </c>
      <c r="L29" s="885" t="s">
        <v>386</v>
      </c>
      <c r="M29" s="791">
        <v>41723</v>
      </c>
      <c r="N29" s="435" t="s">
        <v>982</v>
      </c>
      <c r="O29" s="397" t="s">
        <v>405</v>
      </c>
      <c r="P29" s="871" t="s">
        <v>1058</v>
      </c>
      <c r="Q29" s="397" t="s">
        <v>1059</v>
      </c>
      <c r="R29" s="722" t="s">
        <v>977</v>
      </c>
      <c r="S29" s="722" t="s">
        <v>977</v>
      </c>
      <c r="T29" s="397">
        <v>44905100</v>
      </c>
      <c r="U29" s="886">
        <f>13817.15+99536.78</f>
        <v>113353.93</v>
      </c>
      <c r="V29" s="789">
        <v>0</v>
      </c>
      <c r="W29" s="886">
        <v>0</v>
      </c>
      <c r="X29" s="886">
        <f>13817.15+99536.78</f>
        <v>113353.93</v>
      </c>
      <c r="Y29" s="1018" t="s">
        <v>1365</v>
      </c>
      <c r="Z29" s="1023"/>
      <c r="AA29" s="1023"/>
    </row>
    <row r="30" spans="1:27" s="124" customFormat="1" ht="83.25" customHeight="1" x14ac:dyDescent="0.25">
      <c r="A30" s="877"/>
      <c r="B30" s="798" t="s">
        <v>448</v>
      </c>
      <c r="C30" s="787" t="s">
        <v>411</v>
      </c>
      <c r="D30" s="885" t="s">
        <v>225</v>
      </c>
      <c r="E30" s="885" t="s">
        <v>225</v>
      </c>
      <c r="F30" s="885" t="s">
        <v>225</v>
      </c>
      <c r="G30" s="885" t="s">
        <v>225</v>
      </c>
      <c r="H30" s="709"/>
      <c r="I30" s="709"/>
      <c r="J30" s="435" t="s">
        <v>1060</v>
      </c>
      <c r="K30" s="397" t="s">
        <v>1061</v>
      </c>
      <c r="L30" s="397" t="s">
        <v>422</v>
      </c>
      <c r="M30" s="791">
        <v>41757</v>
      </c>
      <c r="N30" s="435" t="s">
        <v>982</v>
      </c>
      <c r="O30" s="397" t="s">
        <v>439</v>
      </c>
      <c r="P30" s="871" t="s">
        <v>1062</v>
      </c>
      <c r="Q30" s="397" t="s">
        <v>1059</v>
      </c>
      <c r="R30" s="435">
        <v>4974.5200000000004</v>
      </c>
      <c r="S30" s="722" t="s">
        <v>977</v>
      </c>
      <c r="T30" s="397">
        <v>44905100</v>
      </c>
      <c r="U30" s="886">
        <f>68945.59+26866.13</f>
        <v>95811.72</v>
      </c>
      <c r="V30" s="789">
        <v>0</v>
      </c>
      <c r="W30" s="886">
        <v>0</v>
      </c>
      <c r="X30" s="886">
        <f>26866.13+68945.69</f>
        <v>95811.82</v>
      </c>
      <c r="Y30" s="1018" t="s">
        <v>1365</v>
      </c>
      <c r="Z30" s="1023"/>
      <c r="AA30" s="1023"/>
    </row>
    <row r="31" spans="1:27" s="124" customFormat="1" ht="72.75" customHeight="1" x14ac:dyDescent="0.25">
      <c r="A31" s="877"/>
      <c r="B31" s="798" t="s">
        <v>449</v>
      </c>
      <c r="C31" s="787" t="s">
        <v>412</v>
      </c>
      <c r="D31" s="885" t="s">
        <v>225</v>
      </c>
      <c r="E31" s="885" t="s">
        <v>225</v>
      </c>
      <c r="F31" s="885" t="s">
        <v>225</v>
      </c>
      <c r="G31" s="885" t="s">
        <v>225</v>
      </c>
      <c r="H31" s="709"/>
      <c r="I31" s="709"/>
      <c r="J31" s="435" t="s">
        <v>1063</v>
      </c>
      <c r="K31" s="397" t="s">
        <v>553</v>
      </c>
      <c r="L31" s="397" t="s">
        <v>423</v>
      </c>
      <c r="M31" s="791">
        <v>41759</v>
      </c>
      <c r="N31" s="435" t="s">
        <v>976</v>
      </c>
      <c r="O31" s="397" t="s">
        <v>1064</v>
      </c>
      <c r="P31" s="871" t="s">
        <v>1065</v>
      </c>
      <c r="Q31" s="397" t="s">
        <v>1122</v>
      </c>
      <c r="R31" s="722" t="s">
        <v>977</v>
      </c>
      <c r="S31" s="722" t="s">
        <v>977</v>
      </c>
      <c r="T31" s="397">
        <v>44905100</v>
      </c>
      <c r="U31" s="886">
        <f>91197.65+40402.79</f>
        <v>131600.44</v>
      </c>
      <c r="V31" s="789">
        <v>0</v>
      </c>
      <c r="W31" s="886">
        <v>0</v>
      </c>
      <c r="X31" s="886">
        <f>91197.65</f>
        <v>91197.65</v>
      </c>
      <c r="Y31" s="1018" t="s">
        <v>1365</v>
      </c>
      <c r="Z31" s="1023"/>
      <c r="AA31" s="1023"/>
    </row>
    <row r="32" spans="1:27" s="124" customFormat="1" ht="40.799999999999997" x14ac:dyDescent="0.25">
      <c r="A32" s="877"/>
      <c r="B32" s="798" t="s">
        <v>451</v>
      </c>
      <c r="C32" s="787" t="s">
        <v>414</v>
      </c>
      <c r="D32" s="885" t="s">
        <v>225</v>
      </c>
      <c r="E32" s="885" t="s">
        <v>225</v>
      </c>
      <c r="F32" s="885" t="s">
        <v>225</v>
      </c>
      <c r="G32" s="885" t="s">
        <v>225</v>
      </c>
      <c r="H32" s="709"/>
      <c r="I32" s="709"/>
      <c r="J32" s="435" t="s">
        <v>1031</v>
      </c>
      <c r="K32" s="397" t="s">
        <v>1032</v>
      </c>
      <c r="L32" s="397" t="s">
        <v>425</v>
      </c>
      <c r="M32" s="791">
        <v>41787</v>
      </c>
      <c r="N32" s="435" t="s">
        <v>980</v>
      </c>
      <c r="O32" s="397" t="s">
        <v>442</v>
      </c>
      <c r="P32" s="791">
        <v>42353</v>
      </c>
      <c r="Q32" s="397" t="s">
        <v>1111</v>
      </c>
      <c r="R32" s="397" t="s">
        <v>1383</v>
      </c>
      <c r="S32" s="722" t="s">
        <v>977</v>
      </c>
      <c r="T32" s="397">
        <v>44905100</v>
      </c>
      <c r="U32" s="886">
        <f>168613.79+3194.77+118301.19+36321.42+114537.72+129091.42+216760.76</f>
        <v>786821.07000000007</v>
      </c>
      <c r="V32" s="886">
        <v>0</v>
      </c>
      <c r="W32" s="886">
        <v>40000</v>
      </c>
      <c r="X32" s="886">
        <f>168613.79+63000+55301.19+36321.42+100000+14537.72+60000+40000</f>
        <v>537774.11999999988</v>
      </c>
      <c r="Y32" s="1018" t="s">
        <v>1038</v>
      </c>
      <c r="Z32" s="1023"/>
      <c r="AA32" s="1023"/>
    </row>
    <row r="33" spans="1:27" s="124" customFormat="1" ht="51" x14ac:dyDescent="0.25">
      <c r="A33" s="877"/>
      <c r="B33" s="798" t="s">
        <v>450</v>
      </c>
      <c r="C33" s="787" t="s">
        <v>413</v>
      </c>
      <c r="D33" s="885" t="s">
        <v>1096</v>
      </c>
      <c r="E33" s="885" t="s">
        <v>1083</v>
      </c>
      <c r="F33" s="893">
        <v>4516115.75</v>
      </c>
      <c r="G33" s="893">
        <v>421018.57</v>
      </c>
      <c r="H33" s="709"/>
      <c r="I33" s="709"/>
      <c r="J33" s="435" t="s">
        <v>1000</v>
      </c>
      <c r="K33" s="397" t="s">
        <v>554</v>
      </c>
      <c r="L33" s="397" t="s">
        <v>424</v>
      </c>
      <c r="M33" s="791">
        <v>41787</v>
      </c>
      <c r="N33" s="435" t="s">
        <v>976</v>
      </c>
      <c r="O33" s="397" t="s">
        <v>441</v>
      </c>
      <c r="P33" s="432" t="str">
        <f t="shared" ref="P33:P35" si="1">Y33</f>
        <v>EM ANDAMENTO</v>
      </c>
      <c r="Q33" s="397" t="s">
        <v>1123</v>
      </c>
      <c r="R33" s="722" t="s">
        <v>977</v>
      </c>
      <c r="S33" s="722" t="s">
        <v>977</v>
      </c>
      <c r="T33" s="397">
        <v>44905100</v>
      </c>
      <c r="U33" s="886">
        <f>33349.64+371978.25+394245.02+33349.64+309743.59</f>
        <v>1142666.1400000001</v>
      </c>
      <c r="V33" s="789">
        <v>0</v>
      </c>
      <c r="W33" s="886">
        <f>2844.72+30504.92+309743.59+28885.02+25648.53+241637.05</f>
        <v>639263.83000000007</v>
      </c>
      <c r="X33" s="886">
        <f>33349.64+184000+187978.25+241637.05+25648.53+28885.02+100331.58+30504.92+2844.72+309743.59</f>
        <v>1144923.3</v>
      </c>
      <c r="Y33" s="1018" t="s">
        <v>641</v>
      </c>
      <c r="Z33" s="1025"/>
      <c r="AA33" s="1023"/>
    </row>
    <row r="34" spans="1:27" s="124" customFormat="1" ht="44.25" customHeight="1" x14ac:dyDescent="0.25">
      <c r="A34" s="877"/>
      <c r="B34" s="798" t="s">
        <v>458</v>
      </c>
      <c r="C34" s="814" t="s">
        <v>420</v>
      </c>
      <c r="D34" s="885" t="s">
        <v>1066</v>
      </c>
      <c r="E34" s="885" t="s">
        <v>1047</v>
      </c>
      <c r="F34" s="893">
        <v>1990587.74</v>
      </c>
      <c r="G34" s="885"/>
      <c r="H34" s="709"/>
      <c r="I34" s="709"/>
      <c r="J34" s="435" t="s">
        <v>1018</v>
      </c>
      <c r="K34" s="397" t="s">
        <v>1071</v>
      </c>
      <c r="L34" s="397" t="s">
        <v>424</v>
      </c>
      <c r="M34" s="791">
        <v>41918</v>
      </c>
      <c r="N34" s="435" t="s">
        <v>1017</v>
      </c>
      <c r="O34" s="397" t="s">
        <v>1112</v>
      </c>
      <c r="P34" s="432" t="str">
        <f t="shared" si="1"/>
        <v>EM ANDAMENTO</v>
      </c>
      <c r="Q34" s="396" t="s">
        <v>1619</v>
      </c>
      <c r="R34" s="722" t="s">
        <v>977</v>
      </c>
      <c r="S34" s="722" t="s">
        <v>977</v>
      </c>
      <c r="T34" s="397">
        <v>44905100</v>
      </c>
      <c r="U34" s="886">
        <f>64731.82+68293.43+85004.89+94740.55+58518.64+53606.41+65900.89+51654.08+50933.37+23567.33+69061.47+26714.56+23865.67+55026.61+59840.16+59848.42+58027.18+58842.92+58908.71+59532.97+59840.01+24951.29+11119.63</f>
        <v>1242531.01</v>
      </c>
      <c r="V34" s="886">
        <v>0</v>
      </c>
      <c r="W34" s="886">
        <f>50000+58027.18+45000+13842.92+25000+15000+19908.71+10000+20000+9848.42+14532.97+20000+64791.3</f>
        <v>365951.49999999994</v>
      </c>
      <c r="X34" s="886">
        <f>64731.82+68293.43+58518.64+85004.89+94740.55+53606.41+65900.89+51654.08+50933.37+23567.33+W34</f>
        <v>982902.90999999992</v>
      </c>
      <c r="Y34" s="1018" t="s">
        <v>641</v>
      </c>
      <c r="Z34" s="1023"/>
      <c r="AA34" s="1026"/>
    </row>
    <row r="35" spans="1:27" s="124" customFormat="1" ht="35.4" customHeight="1" x14ac:dyDescent="0.25">
      <c r="A35" s="877"/>
      <c r="B35" s="798" t="s">
        <v>459</v>
      </c>
      <c r="C35" s="814" t="s">
        <v>421</v>
      </c>
      <c r="D35" s="885" t="s">
        <v>1109</v>
      </c>
      <c r="E35" s="885" t="s">
        <v>1108</v>
      </c>
      <c r="F35" s="886">
        <v>487484.08</v>
      </c>
      <c r="G35" s="886">
        <v>42389.919999999998</v>
      </c>
      <c r="H35" s="709"/>
      <c r="I35" s="709"/>
      <c r="J35" s="435" t="s">
        <v>1067</v>
      </c>
      <c r="K35" s="397" t="s">
        <v>1068</v>
      </c>
      <c r="L35" s="397" t="s">
        <v>468</v>
      </c>
      <c r="M35" s="791">
        <v>41897</v>
      </c>
      <c r="N35" s="435" t="s">
        <v>980</v>
      </c>
      <c r="O35" s="397" t="s">
        <v>1069</v>
      </c>
      <c r="P35" s="432" t="str">
        <f t="shared" si="1"/>
        <v>EM ANDAMENTO</v>
      </c>
      <c r="Q35" s="397" t="s">
        <v>1407</v>
      </c>
      <c r="R35" s="722" t="s">
        <v>977</v>
      </c>
      <c r="S35" s="722" t="s">
        <v>977</v>
      </c>
      <c r="T35" s="397">
        <v>44905100</v>
      </c>
      <c r="U35" s="886">
        <f>44078.17+11391.15+48592.5+43410.81+89573.1+35394.29</f>
        <v>272440.02</v>
      </c>
      <c r="V35" s="886">
        <f>7165.85+82407.25+32237.89+3156.4</f>
        <v>124967.39</v>
      </c>
      <c r="W35" s="886">
        <f>10479.86+911.29+44705.1+3887.4+39937.95+3472.86+V35</f>
        <v>228361.85</v>
      </c>
      <c r="X35" s="886">
        <f>10000+10000+44705.1+3887.4+39937.95+3472.86+10479.86+911.29+7165.85+82407.25+32237.89+3156.4</f>
        <v>248361.85</v>
      </c>
      <c r="Y35" s="1018" t="s">
        <v>641</v>
      </c>
      <c r="Z35" s="1023"/>
      <c r="AA35" s="1023"/>
    </row>
    <row r="36" spans="1:27" s="124" customFormat="1" ht="62.4" customHeight="1" x14ac:dyDescent="0.25">
      <c r="A36" s="877"/>
      <c r="B36" s="798" t="s">
        <v>522</v>
      </c>
      <c r="C36" s="814" t="s">
        <v>461</v>
      </c>
      <c r="D36" s="885" t="s">
        <v>225</v>
      </c>
      <c r="E36" s="885" t="s">
        <v>225</v>
      </c>
      <c r="F36" s="885" t="s">
        <v>225</v>
      </c>
      <c r="G36" s="885" t="s">
        <v>225</v>
      </c>
      <c r="H36" s="709"/>
      <c r="I36" s="709"/>
      <c r="J36" s="435" t="s">
        <v>1006</v>
      </c>
      <c r="K36" s="397" t="s">
        <v>1073</v>
      </c>
      <c r="L36" s="397" t="s">
        <v>435</v>
      </c>
      <c r="M36" s="791">
        <v>41865</v>
      </c>
      <c r="N36" s="435" t="s">
        <v>984</v>
      </c>
      <c r="O36" s="396">
        <v>77556.649999999994</v>
      </c>
      <c r="P36" s="791">
        <v>42348</v>
      </c>
      <c r="Q36" s="397" t="s">
        <v>1394</v>
      </c>
      <c r="R36" s="722" t="s">
        <v>977</v>
      </c>
      <c r="S36" s="722" t="s">
        <v>977</v>
      </c>
      <c r="T36" s="434" t="s">
        <v>5</v>
      </c>
      <c r="U36" s="886">
        <f>11738.35+21024.08+11105.51+12576.68+3131.9</f>
        <v>59576.520000000004</v>
      </c>
      <c r="V36" s="789">
        <v>0</v>
      </c>
      <c r="W36" s="886">
        <v>0</v>
      </c>
      <c r="X36" s="886">
        <f>11738.35+7600+2912.04+10512.04+12576.68+11105.51+3131.9</f>
        <v>59576.520000000004</v>
      </c>
      <c r="Y36" s="1018" t="s">
        <v>1365</v>
      </c>
      <c r="Z36" s="886">
        <f>11738.35+21024.08+11105.51+12576.68+3131.9</f>
        <v>59576.520000000004</v>
      </c>
      <c r="AA36" s="1023"/>
    </row>
    <row r="37" spans="1:27" s="124" customFormat="1" ht="44.25" customHeight="1" x14ac:dyDescent="0.25">
      <c r="A37" s="877"/>
      <c r="B37" s="798" t="s">
        <v>524</v>
      </c>
      <c r="C37" s="814" t="s">
        <v>463</v>
      </c>
      <c r="D37" s="885" t="s">
        <v>225</v>
      </c>
      <c r="E37" s="885" t="s">
        <v>225</v>
      </c>
      <c r="F37" s="885" t="s">
        <v>225</v>
      </c>
      <c r="G37" s="885" t="s">
        <v>225</v>
      </c>
      <c r="H37" s="709"/>
      <c r="I37" s="709"/>
      <c r="J37" s="435" t="s">
        <v>926</v>
      </c>
      <c r="K37" s="397" t="s">
        <v>549</v>
      </c>
      <c r="L37" s="397" t="s">
        <v>464</v>
      </c>
      <c r="M37" s="791">
        <v>41876</v>
      </c>
      <c r="N37" s="435" t="s">
        <v>976</v>
      </c>
      <c r="O37" s="396">
        <v>265500</v>
      </c>
      <c r="P37" s="871" t="s">
        <v>1003</v>
      </c>
      <c r="Q37" s="397" t="s">
        <v>1124</v>
      </c>
      <c r="R37" s="722" t="s">
        <v>977</v>
      </c>
      <c r="S37" s="722" t="s">
        <v>977</v>
      </c>
      <c r="T37" s="397">
        <v>44905100</v>
      </c>
      <c r="U37" s="886">
        <f>200284.44+6825.57</f>
        <v>207110.01</v>
      </c>
      <c r="V37" s="789">
        <v>0</v>
      </c>
      <c r="W37" s="886">
        <v>0</v>
      </c>
      <c r="X37" s="886">
        <f>20284.44+50000+130000+6825.57</f>
        <v>207110.01</v>
      </c>
      <c r="Y37" s="1018" t="s">
        <v>1365</v>
      </c>
      <c r="Z37" s="1023"/>
      <c r="AA37" s="1023"/>
    </row>
    <row r="38" spans="1:27" s="124" customFormat="1" ht="20.399999999999999" x14ac:dyDescent="0.25">
      <c r="A38" s="877"/>
      <c r="B38" s="798" t="s">
        <v>527</v>
      </c>
      <c r="C38" s="814" t="s">
        <v>471</v>
      </c>
      <c r="D38" s="885" t="s">
        <v>225</v>
      </c>
      <c r="E38" s="885" t="s">
        <v>225</v>
      </c>
      <c r="F38" s="885" t="s">
        <v>225</v>
      </c>
      <c r="G38" s="885" t="s">
        <v>225</v>
      </c>
      <c r="H38" s="709"/>
      <c r="I38" s="709"/>
      <c r="J38" s="435" t="s">
        <v>978</v>
      </c>
      <c r="K38" s="791" t="s">
        <v>570</v>
      </c>
      <c r="L38" s="791" t="s">
        <v>466</v>
      </c>
      <c r="M38" s="791">
        <v>41884</v>
      </c>
      <c r="N38" s="435" t="s">
        <v>982</v>
      </c>
      <c r="O38" s="396">
        <v>120282.25</v>
      </c>
      <c r="P38" s="791">
        <v>41941</v>
      </c>
      <c r="Q38" s="722" t="s">
        <v>977</v>
      </c>
      <c r="R38" s="722" t="s">
        <v>977</v>
      </c>
      <c r="S38" s="722" t="s">
        <v>977</v>
      </c>
      <c r="T38" s="397">
        <v>44905100</v>
      </c>
      <c r="U38" s="886">
        <f>47696.61+60095.54</f>
        <v>107792.15</v>
      </c>
      <c r="V38" s="789">
        <v>0</v>
      </c>
      <c r="W38" s="886">
        <v>0</v>
      </c>
      <c r="X38" s="886">
        <f>60095.54+47696.61</f>
        <v>107792.15</v>
      </c>
      <c r="Y38" s="1018" t="s">
        <v>1365</v>
      </c>
      <c r="Z38" s="1023"/>
      <c r="AA38" s="1023"/>
    </row>
    <row r="39" spans="1:27" s="124" customFormat="1" ht="30.6" x14ac:dyDescent="0.25">
      <c r="A39" s="877"/>
      <c r="B39" s="798" t="s">
        <v>529</v>
      </c>
      <c r="C39" s="814" t="s">
        <v>473</v>
      </c>
      <c r="D39" s="885" t="s">
        <v>1066</v>
      </c>
      <c r="E39" s="885" t="s">
        <v>1047</v>
      </c>
      <c r="F39" s="886">
        <v>424104.96000000002</v>
      </c>
      <c r="G39" s="886">
        <v>525895.04</v>
      </c>
      <c r="H39" s="709"/>
      <c r="I39" s="709"/>
      <c r="J39" s="888" t="s">
        <v>1067</v>
      </c>
      <c r="K39" s="791" t="s">
        <v>1068</v>
      </c>
      <c r="L39" s="791" t="s">
        <v>504</v>
      </c>
      <c r="M39" s="791">
        <v>41961</v>
      </c>
      <c r="N39" s="435" t="s">
        <v>1002</v>
      </c>
      <c r="O39" s="396">
        <v>950000</v>
      </c>
      <c r="P39" s="791">
        <v>42341</v>
      </c>
      <c r="Q39" s="397" t="s">
        <v>1395</v>
      </c>
      <c r="R39" s="722" t="s">
        <v>977</v>
      </c>
      <c r="S39" s="722" t="s">
        <v>977</v>
      </c>
      <c r="T39" s="397">
        <v>44905100</v>
      </c>
      <c r="U39" s="886">
        <f>31598.21+37812.74+56025.7+16434.13+40658.65</f>
        <v>182529.43</v>
      </c>
      <c r="V39" s="789">
        <v>0</v>
      </c>
      <c r="W39" s="886">
        <f>20000+20658.65</f>
        <v>40658.65</v>
      </c>
      <c r="X39" s="886">
        <f>56025.7+31598.21+37812.74+20000+20658.65</f>
        <v>166095.29999999999</v>
      </c>
      <c r="Y39" s="1032" t="s">
        <v>1038</v>
      </c>
      <c r="Z39" s="1023"/>
      <c r="AA39" s="1023"/>
    </row>
    <row r="40" spans="1:27" s="124" customFormat="1" ht="30.6" x14ac:dyDescent="0.25">
      <c r="A40" s="877"/>
      <c r="B40" s="798" t="s">
        <v>531</v>
      </c>
      <c r="C40" s="787" t="s">
        <v>475</v>
      </c>
      <c r="D40" s="885" t="s">
        <v>225</v>
      </c>
      <c r="E40" s="885" t="s">
        <v>225</v>
      </c>
      <c r="F40" s="885" t="s">
        <v>225</v>
      </c>
      <c r="G40" s="885" t="s">
        <v>225</v>
      </c>
      <c r="H40" s="709"/>
      <c r="I40" s="709"/>
      <c r="J40" s="435" t="s">
        <v>1074</v>
      </c>
      <c r="K40" s="397" t="s">
        <v>1075</v>
      </c>
      <c r="L40" s="791" t="s">
        <v>505</v>
      </c>
      <c r="M40" s="791">
        <v>41961</v>
      </c>
      <c r="N40" s="435" t="s">
        <v>980</v>
      </c>
      <c r="O40" s="396">
        <v>1291865.8799999999</v>
      </c>
      <c r="P40" s="791">
        <v>42339</v>
      </c>
      <c r="Q40" s="397" t="s">
        <v>1397</v>
      </c>
      <c r="R40" s="397" t="s">
        <v>1093</v>
      </c>
      <c r="S40" s="722" t="s">
        <v>977</v>
      </c>
      <c r="T40" s="397">
        <v>44905100</v>
      </c>
      <c r="U40" s="886">
        <f>35364.62+252279.5+94329.79+139729.8+166977.64+169628.44+132033.8+110604.74+111780.5+79245.55+9371.4+24380.6+62432.81+51557.31+15700.15</f>
        <v>1455416.6500000001</v>
      </c>
      <c r="V40" s="886">
        <v>0</v>
      </c>
      <c r="W40" s="886">
        <v>0</v>
      </c>
      <c r="X40" s="886">
        <f>90000+162279.5+139729.8+94329.79+166977.64+169628.44+132033.8+110604.74+111780.5+65000+62432.81+51557.31+9371.4+14245.55+15700.15+24380.6</f>
        <v>1420052.03</v>
      </c>
      <c r="Y40" s="1032" t="s">
        <v>1038</v>
      </c>
      <c r="Z40" s="1023"/>
      <c r="AA40" s="1023"/>
    </row>
    <row r="41" spans="1:27" s="124" customFormat="1" ht="40.799999999999997" x14ac:dyDescent="0.25">
      <c r="A41" s="877"/>
      <c r="B41" s="798" t="s">
        <v>533</v>
      </c>
      <c r="C41" s="787" t="s">
        <v>476</v>
      </c>
      <c r="D41" s="885" t="s">
        <v>225</v>
      </c>
      <c r="E41" s="885" t="s">
        <v>225</v>
      </c>
      <c r="F41" s="885" t="s">
        <v>225</v>
      </c>
      <c r="G41" s="885" t="s">
        <v>225</v>
      </c>
      <c r="H41" s="709"/>
      <c r="I41" s="709"/>
      <c r="J41" s="396" t="s">
        <v>1080</v>
      </c>
      <c r="K41" s="791" t="s">
        <v>1079</v>
      </c>
      <c r="L41" s="791" t="s">
        <v>494</v>
      </c>
      <c r="M41" s="791">
        <v>41913</v>
      </c>
      <c r="N41" s="435" t="s">
        <v>982</v>
      </c>
      <c r="O41" s="396">
        <v>110437.88</v>
      </c>
      <c r="P41" s="791">
        <v>41953</v>
      </c>
      <c r="Q41" s="397" t="s">
        <v>1396</v>
      </c>
      <c r="R41" s="722" t="s">
        <v>977</v>
      </c>
      <c r="S41" s="722" t="s">
        <v>977</v>
      </c>
      <c r="T41" s="397">
        <v>44905100</v>
      </c>
      <c r="U41" s="886">
        <f>40959.7</f>
        <v>40959.699999999997</v>
      </c>
      <c r="V41" s="789">
        <v>0</v>
      </c>
      <c r="W41" s="886">
        <v>0</v>
      </c>
      <c r="X41" s="886">
        <f>40959.7</f>
        <v>40959.699999999997</v>
      </c>
      <c r="Y41" s="1032" t="s">
        <v>1038</v>
      </c>
      <c r="Z41" s="1023"/>
      <c r="AA41" s="1023"/>
    </row>
    <row r="42" spans="1:27" s="457" customFormat="1" ht="30.6" x14ac:dyDescent="0.25">
      <c r="A42" s="878"/>
      <c r="B42" s="798" t="s">
        <v>534</v>
      </c>
      <c r="C42" s="787" t="s">
        <v>477</v>
      </c>
      <c r="D42" s="885" t="s">
        <v>225</v>
      </c>
      <c r="E42" s="885" t="s">
        <v>225</v>
      </c>
      <c r="F42" s="885" t="s">
        <v>225</v>
      </c>
      <c r="G42" s="885" t="s">
        <v>225</v>
      </c>
      <c r="H42" s="709"/>
      <c r="I42" s="709"/>
      <c r="J42" s="435" t="s">
        <v>1006</v>
      </c>
      <c r="K42" s="397" t="s">
        <v>1073</v>
      </c>
      <c r="L42" s="791" t="s">
        <v>496</v>
      </c>
      <c r="M42" s="791">
        <v>41915</v>
      </c>
      <c r="N42" s="435" t="s">
        <v>1072</v>
      </c>
      <c r="O42" s="396">
        <v>26960.95</v>
      </c>
      <c r="P42" s="791">
        <v>41985</v>
      </c>
      <c r="Q42" s="397" t="s">
        <v>1396</v>
      </c>
      <c r="R42" s="435" t="s">
        <v>977</v>
      </c>
      <c r="S42" s="435" t="s">
        <v>977</v>
      </c>
      <c r="T42" s="397">
        <v>44905100</v>
      </c>
      <c r="U42" s="886">
        <v>16060.07</v>
      </c>
      <c r="V42" s="789">
        <v>0</v>
      </c>
      <c r="W42" s="886">
        <v>0</v>
      </c>
      <c r="X42" s="886">
        <f>16060.07</f>
        <v>16060.07</v>
      </c>
      <c r="Y42" s="1032" t="s">
        <v>1038</v>
      </c>
      <c r="Z42" s="1027"/>
      <c r="AA42" s="1027"/>
    </row>
    <row r="43" spans="1:27" ht="51" x14ac:dyDescent="0.25">
      <c r="B43" s="798" t="s">
        <v>535</v>
      </c>
      <c r="C43" s="787" t="s">
        <v>478</v>
      </c>
      <c r="D43" s="885" t="s">
        <v>225</v>
      </c>
      <c r="E43" s="885" t="s">
        <v>225</v>
      </c>
      <c r="F43" s="885" t="s">
        <v>225</v>
      </c>
      <c r="G43" s="885" t="s">
        <v>225</v>
      </c>
      <c r="H43" s="709"/>
      <c r="I43" s="709"/>
      <c r="J43" s="396" t="s">
        <v>941</v>
      </c>
      <c r="K43" s="791" t="s">
        <v>939</v>
      </c>
      <c r="L43" s="791" t="s">
        <v>498</v>
      </c>
      <c r="M43" s="791">
        <v>41920</v>
      </c>
      <c r="N43" s="435" t="s">
        <v>990</v>
      </c>
      <c r="O43" s="396">
        <v>140988.01999999999</v>
      </c>
      <c r="P43" s="791">
        <v>42355</v>
      </c>
      <c r="Q43" s="397" t="s">
        <v>1398</v>
      </c>
      <c r="R43" s="722" t="s">
        <v>977</v>
      </c>
      <c r="S43" s="722" t="s">
        <v>977</v>
      </c>
      <c r="T43" s="397">
        <v>44905100</v>
      </c>
      <c r="U43" s="886">
        <v>2972.84</v>
      </c>
      <c r="V43" s="789">
        <v>0</v>
      </c>
      <c r="W43" s="886">
        <v>2972.84</v>
      </c>
      <c r="X43" s="886">
        <f>W43+V43</f>
        <v>2972.84</v>
      </c>
      <c r="Y43" s="1018" t="s">
        <v>1038</v>
      </c>
    </row>
    <row r="44" spans="1:27" s="124" customFormat="1" ht="30.6" x14ac:dyDescent="0.25">
      <c r="A44" s="877"/>
      <c r="B44" s="798" t="s">
        <v>536</v>
      </c>
      <c r="C44" s="787" t="s">
        <v>479</v>
      </c>
      <c r="D44" s="885" t="s">
        <v>225</v>
      </c>
      <c r="E44" s="885" t="s">
        <v>225</v>
      </c>
      <c r="F44" s="885" t="s">
        <v>225</v>
      </c>
      <c r="G44" s="885" t="s">
        <v>225</v>
      </c>
      <c r="H44" s="709"/>
      <c r="I44" s="709"/>
      <c r="J44" s="435" t="s">
        <v>978</v>
      </c>
      <c r="K44" s="791" t="s">
        <v>570</v>
      </c>
      <c r="L44" s="791" t="s">
        <v>499</v>
      </c>
      <c r="M44" s="791">
        <v>41926</v>
      </c>
      <c r="N44" s="435" t="s">
        <v>982</v>
      </c>
      <c r="O44" s="396">
        <v>129117.38</v>
      </c>
      <c r="P44" s="791">
        <v>42350</v>
      </c>
      <c r="Q44" s="397" t="s">
        <v>1396</v>
      </c>
      <c r="R44" s="722" t="s">
        <v>977</v>
      </c>
      <c r="S44" s="722" t="s">
        <v>977</v>
      </c>
      <c r="T44" s="397">
        <v>44905100</v>
      </c>
      <c r="U44" s="886">
        <v>75030.2</v>
      </c>
      <c r="V44" s="789">
        <v>0</v>
      </c>
      <c r="W44" s="886">
        <v>0</v>
      </c>
      <c r="X44" s="886">
        <f>37515.1+30300+7215.1</f>
        <v>75030.200000000012</v>
      </c>
      <c r="Y44" s="1018" t="s">
        <v>1038</v>
      </c>
      <c r="Z44" s="1023"/>
      <c r="AA44" s="1023"/>
    </row>
    <row r="45" spans="1:27" s="124" customFormat="1" ht="60.75" customHeight="1" x14ac:dyDescent="0.25">
      <c r="A45" s="877"/>
      <c r="B45" s="798" t="s">
        <v>537</v>
      </c>
      <c r="C45" s="787" t="s">
        <v>480</v>
      </c>
      <c r="D45" s="885" t="s">
        <v>225</v>
      </c>
      <c r="E45" s="885" t="s">
        <v>225</v>
      </c>
      <c r="F45" s="885" t="s">
        <v>225</v>
      </c>
      <c r="G45" s="885" t="s">
        <v>225</v>
      </c>
      <c r="H45" s="709"/>
      <c r="I45" s="709"/>
      <c r="J45" s="435" t="s">
        <v>1006</v>
      </c>
      <c r="K45" s="397" t="s">
        <v>1073</v>
      </c>
      <c r="L45" s="791" t="s">
        <v>501</v>
      </c>
      <c r="M45" s="791">
        <v>41932</v>
      </c>
      <c r="N45" s="435" t="s">
        <v>976</v>
      </c>
      <c r="O45" s="396">
        <v>135335.89000000001</v>
      </c>
      <c r="P45" s="871" t="str">
        <f t="shared" ref="P45:P48" si="2">Y45</f>
        <v>EM ANDAMENTO</v>
      </c>
      <c r="Q45" s="397" t="s">
        <v>1408</v>
      </c>
      <c r="R45" s="397" t="s">
        <v>1563</v>
      </c>
      <c r="S45" s="722" t="s">
        <v>977</v>
      </c>
      <c r="T45" s="397">
        <v>44905100</v>
      </c>
      <c r="U45" s="886">
        <f>13765.81+27960.22+8592.48+38284.62+16193.8+10130.05+18256.2</f>
        <v>133183.18000000002</v>
      </c>
      <c r="V45" s="789">
        <v>0</v>
      </c>
      <c r="W45" s="789">
        <f>16193.8+10130.05</f>
        <v>26323.85</v>
      </c>
      <c r="X45" s="886">
        <f>U45</f>
        <v>133183.18000000002</v>
      </c>
      <c r="Y45" s="1018" t="s">
        <v>641</v>
      </c>
      <c r="Z45" s="1023"/>
      <c r="AA45" s="1023"/>
    </row>
    <row r="46" spans="1:27" s="124" customFormat="1" ht="24" customHeight="1" x14ac:dyDescent="0.25">
      <c r="A46" s="877"/>
      <c r="B46" s="798" t="s">
        <v>538</v>
      </c>
      <c r="C46" s="787" t="s">
        <v>481</v>
      </c>
      <c r="D46" s="885" t="s">
        <v>225</v>
      </c>
      <c r="E46" s="885" t="s">
        <v>225</v>
      </c>
      <c r="F46" s="885" t="s">
        <v>225</v>
      </c>
      <c r="G46" s="885" t="s">
        <v>225</v>
      </c>
      <c r="H46" s="709"/>
      <c r="I46" s="709"/>
      <c r="J46" s="435" t="s">
        <v>1081</v>
      </c>
      <c r="K46" s="397" t="s">
        <v>1269</v>
      </c>
      <c r="L46" s="791" t="s">
        <v>645</v>
      </c>
      <c r="M46" s="791">
        <v>42149</v>
      </c>
      <c r="N46" s="435" t="s">
        <v>980</v>
      </c>
      <c r="O46" s="396">
        <v>3316951.94</v>
      </c>
      <c r="P46" s="817">
        <v>42069</v>
      </c>
      <c r="Q46" s="397" t="s">
        <v>1399</v>
      </c>
      <c r="R46" s="722" t="s">
        <v>977</v>
      </c>
      <c r="S46" s="722" t="s">
        <v>977</v>
      </c>
      <c r="T46" s="397">
        <v>44905100</v>
      </c>
      <c r="U46" s="886">
        <f>164714.47+117559.49</f>
        <v>282273.96000000002</v>
      </c>
      <c r="V46" s="789">
        <v>0</v>
      </c>
      <c r="W46" s="886">
        <v>0</v>
      </c>
      <c r="X46" s="886">
        <f>87000+77714.47</f>
        <v>164714.47</v>
      </c>
      <c r="Y46" s="1018" t="s">
        <v>1038</v>
      </c>
      <c r="Z46" s="1023"/>
      <c r="AA46" s="1023"/>
    </row>
    <row r="47" spans="1:27" s="124" customFormat="1" ht="26.25" customHeight="1" x14ac:dyDescent="0.25">
      <c r="A47" s="877"/>
      <c r="B47" s="798" t="s">
        <v>539</v>
      </c>
      <c r="C47" s="787" t="s">
        <v>482</v>
      </c>
      <c r="D47" s="885" t="s">
        <v>225</v>
      </c>
      <c r="E47" s="885" t="s">
        <v>225</v>
      </c>
      <c r="F47" s="885" t="s">
        <v>225</v>
      </c>
      <c r="G47" s="885" t="s">
        <v>225</v>
      </c>
      <c r="H47" s="709"/>
      <c r="I47" s="709"/>
      <c r="J47" s="397" t="s">
        <v>1074</v>
      </c>
      <c r="K47" s="397" t="s">
        <v>1075</v>
      </c>
      <c r="L47" s="791" t="s">
        <v>618</v>
      </c>
      <c r="M47" s="791">
        <v>42062</v>
      </c>
      <c r="N47" s="435" t="s">
        <v>1082</v>
      </c>
      <c r="O47" s="396">
        <v>3329568.49</v>
      </c>
      <c r="P47" s="817">
        <v>42200</v>
      </c>
      <c r="Q47" s="722" t="s">
        <v>977</v>
      </c>
      <c r="R47" s="396">
        <v>55563.01</v>
      </c>
      <c r="S47" s="722" t="s">
        <v>977</v>
      </c>
      <c r="T47" s="397">
        <v>44905100</v>
      </c>
      <c r="U47" s="886">
        <f>6791.9+55563.01</f>
        <v>62354.91</v>
      </c>
      <c r="V47" s="789">
        <v>0</v>
      </c>
      <c r="W47" s="886">
        <v>0</v>
      </c>
      <c r="X47" s="886">
        <f>6791.9+55563.01</f>
        <v>62354.91</v>
      </c>
      <c r="Y47" s="1018" t="s">
        <v>1038</v>
      </c>
      <c r="Z47" s="1023"/>
      <c r="AA47" s="1023"/>
    </row>
    <row r="48" spans="1:27" s="124" customFormat="1" ht="36" customHeight="1" x14ac:dyDescent="0.25">
      <c r="A48" s="877"/>
      <c r="B48" s="798" t="s">
        <v>541</v>
      </c>
      <c r="C48" s="787" t="s">
        <v>1098</v>
      </c>
      <c r="D48" s="885" t="s">
        <v>225</v>
      </c>
      <c r="E48" s="885" t="s">
        <v>225</v>
      </c>
      <c r="F48" s="885" t="s">
        <v>225</v>
      </c>
      <c r="G48" s="885" t="s">
        <v>225</v>
      </c>
      <c r="H48" s="709"/>
      <c r="I48" s="709"/>
      <c r="J48" s="396" t="s">
        <v>941</v>
      </c>
      <c r="K48" s="791" t="s">
        <v>939</v>
      </c>
      <c r="L48" s="791" t="s">
        <v>507</v>
      </c>
      <c r="M48" s="791">
        <v>41971</v>
      </c>
      <c r="N48" s="435" t="s">
        <v>984</v>
      </c>
      <c r="O48" s="396">
        <v>9852.77</v>
      </c>
      <c r="P48" s="871" t="str">
        <f t="shared" si="2"/>
        <v>NÃO INICIADA</v>
      </c>
      <c r="Q48" s="722" t="s">
        <v>977</v>
      </c>
      <c r="R48" s="722" t="s">
        <v>977</v>
      </c>
      <c r="S48" s="722" t="s">
        <v>977</v>
      </c>
      <c r="T48" s="397">
        <v>44905100</v>
      </c>
      <c r="U48" s="789">
        <v>0</v>
      </c>
      <c r="V48" s="789">
        <v>0</v>
      </c>
      <c r="W48" s="886">
        <v>0</v>
      </c>
      <c r="X48" s="886">
        <v>0</v>
      </c>
      <c r="Y48" s="1018" t="s">
        <v>598</v>
      </c>
      <c r="Z48" s="1023"/>
      <c r="AA48" s="1023"/>
    </row>
    <row r="49" spans="1:31" s="124" customFormat="1" ht="44.4" customHeight="1" x14ac:dyDescent="0.25">
      <c r="A49" s="877"/>
      <c r="B49" s="798" t="s">
        <v>542</v>
      </c>
      <c r="C49" s="787" t="s">
        <v>1099</v>
      </c>
      <c r="D49" s="885" t="s">
        <v>225</v>
      </c>
      <c r="E49" s="885" t="s">
        <v>225</v>
      </c>
      <c r="F49" s="885" t="s">
        <v>225</v>
      </c>
      <c r="G49" s="885" t="s">
        <v>225</v>
      </c>
      <c r="H49" s="709"/>
      <c r="I49" s="709"/>
      <c r="J49" s="435" t="s">
        <v>1081</v>
      </c>
      <c r="K49" s="397" t="s">
        <v>1269</v>
      </c>
      <c r="L49" s="397" t="s">
        <v>513</v>
      </c>
      <c r="M49" s="791">
        <v>41992</v>
      </c>
      <c r="N49" s="435" t="s">
        <v>976</v>
      </c>
      <c r="O49" s="396">
        <v>395308.55</v>
      </c>
      <c r="P49" s="791">
        <v>42341</v>
      </c>
      <c r="Q49" s="397" t="s">
        <v>1400</v>
      </c>
      <c r="R49" s="722" t="s">
        <v>977</v>
      </c>
      <c r="S49" s="722" t="s">
        <v>977</v>
      </c>
      <c r="T49" s="397">
        <v>44905100</v>
      </c>
      <c r="U49" s="886">
        <f>87225.38+50665.95+131297.44</f>
        <v>269188.77</v>
      </c>
      <c r="V49" s="789">
        <v>0</v>
      </c>
      <c r="W49" s="886">
        <v>0</v>
      </c>
      <c r="X49" s="886">
        <f>87225.38+50665.95</f>
        <v>137891.33000000002</v>
      </c>
      <c r="Y49" s="1018" t="s">
        <v>1365</v>
      </c>
      <c r="Z49" s="1023"/>
      <c r="AA49" s="1023"/>
    </row>
    <row r="50" spans="1:31" s="457" customFormat="1" ht="36" customHeight="1" x14ac:dyDescent="0.25">
      <c r="A50" s="878"/>
      <c r="B50" s="798" t="s">
        <v>543</v>
      </c>
      <c r="C50" s="787" t="s">
        <v>1100</v>
      </c>
      <c r="D50" s="885" t="s">
        <v>225</v>
      </c>
      <c r="E50" s="885" t="s">
        <v>225</v>
      </c>
      <c r="F50" s="885" t="s">
        <v>225</v>
      </c>
      <c r="G50" s="885" t="s">
        <v>225</v>
      </c>
      <c r="H50" s="709"/>
      <c r="I50" s="709"/>
      <c r="J50" s="435" t="s">
        <v>1025</v>
      </c>
      <c r="K50" s="397" t="s">
        <v>830</v>
      </c>
      <c r="L50" s="397" t="s">
        <v>512</v>
      </c>
      <c r="M50" s="791">
        <v>41994</v>
      </c>
      <c r="N50" s="435" t="s">
        <v>1082</v>
      </c>
      <c r="O50" s="396">
        <v>172800</v>
      </c>
      <c r="P50" s="791">
        <v>42313</v>
      </c>
      <c r="Q50" s="435" t="s">
        <v>977</v>
      </c>
      <c r="R50" s="435">
        <v>42300</v>
      </c>
      <c r="S50" s="435" t="s">
        <v>977</v>
      </c>
      <c r="T50" s="397">
        <v>44905100</v>
      </c>
      <c r="U50" s="886">
        <f>17280+17280+17280+17280+17280+17280+17280+34100+17600+42300</f>
        <v>214960</v>
      </c>
      <c r="V50" s="789">
        <v>0</v>
      </c>
      <c r="W50" s="886">
        <v>0</v>
      </c>
      <c r="X50" s="886">
        <f>U50</f>
        <v>214960</v>
      </c>
      <c r="Y50" s="1018" t="s">
        <v>1365</v>
      </c>
      <c r="Z50" s="1027"/>
      <c r="AA50" s="1027"/>
    </row>
    <row r="51" spans="1:31" s="124" customFormat="1" ht="24" customHeight="1" x14ac:dyDescent="0.25">
      <c r="A51" s="877"/>
      <c r="B51" s="798" t="s">
        <v>544</v>
      </c>
      <c r="C51" s="787" t="s">
        <v>1101</v>
      </c>
      <c r="D51" s="885" t="s">
        <v>225</v>
      </c>
      <c r="E51" s="885" t="s">
        <v>225</v>
      </c>
      <c r="F51" s="885" t="s">
        <v>225</v>
      </c>
      <c r="G51" s="885" t="s">
        <v>225</v>
      </c>
      <c r="H51" s="709"/>
      <c r="I51" s="709"/>
      <c r="J51" s="435" t="s">
        <v>1031</v>
      </c>
      <c r="K51" s="397" t="s">
        <v>1032</v>
      </c>
      <c r="L51" s="397" t="s">
        <v>586</v>
      </c>
      <c r="M51" s="791">
        <v>42040</v>
      </c>
      <c r="N51" s="435" t="s">
        <v>1090</v>
      </c>
      <c r="O51" s="396">
        <v>53068701.600000001</v>
      </c>
      <c r="P51" s="1035" t="str">
        <f>Y51</f>
        <v>DISTRATADA</v>
      </c>
      <c r="Q51" s="722" t="s">
        <v>977</v>
      </c>
      <c r="R51" s="722" t="s">
        <v>977</v>
      </c>
      <c r="S51" s="722" t="s">
        <v>977</v>
      </c>
      <c r="T51" s="397" t="s">
        <v>1015</v>
      </c>
      <c r="U51" s="886">
        <f>529831.96+624243.28+618889.32+620920.66+617328.97+627757.72+639486.87+636364.95+641603.55+637131.92+646932.65+639176.78+632124.76+647864.32+639291.2+647863.9+638236.57+641550.1+560786.24+558171.59+157828.91</f>
        <v>12603386.220000001</v>
      </c>
      <c r="V51" s="789">
        <f>76500+29500+90000+353291.2+647863.9+641550.1+548236.57+157828.91+560786.24+558171.59</f>
        <v>3663728.51</v>
      </c>
      <c r="W51" s="886">
        <f>245000+392131.92+310000+336932.65+330000+309176.78+632124.76+435000+392864.32+V51</f>
        <v>7046958.9399999995</v>
      </c>
      <c r="X51" s="886">
        <f>529831.96+624243.28+618889.32+620920.66+617328.97+627757.72+319743.43+319743.44+636364.95+641603.55+W51</f>
        <v>12603386.219999999</v>
      </c>
      <c r="Y51" s="1018" t="s">
        <v>1387</v>
      </c>
      <c r="Z51" s="886"/>
      <c r="AA51" s="789"/>
      <c r="AB51" s="1021"/>
      <c r="AC51" s="464"/>
      <c r="AE51" s="124">
        <f>529831.96+624243.28+618889.32+620920.66+617328.97+627757.72+319743.43+319743.44+636364.95+641603.55</f>
        <v>5556427.2800000003</v>
      </c>
    </row>
    <row r="52" spans="1:31" s="124" customFormat="1" ht="26.25" customHeight="1" x14ac:dyDescent="0.25">
      <c r="A52" s="877"/>
      <c r="B52" s="798" t="s">
        <v>546</v>
      </c>
      <c r="C52" s="787" t="s">
        <v>489</v>
      </c>
      <c r="D52" s="885" t="s">
        <v>225</v>
      </c>
      <c r="E52" s="885" t="s">
        <v>225</v>
      </c>
      <c r="F52" s="885" t="s">
        <v>225</v>
      </c>
      <c r="G52" s="885" t="s">
        <v>225</v>
      </c>
      <c r="H52" s="709"/>
      <c r="I52" s="709"/>
      <c r="J52" s="435" t="s">
        <v>978</v>
      </c>
      <c r="K52" s="791" t="s">
        <v>570</v>
      </c>
      <c r="L52" s="397" t="s">
        <v>510</v>
      </c>
      <c r="M52" s="791">
        <v>41982</v>
      </c>
      <c r="N52" s="435" t="s">
        <v>1091</v>
      </c>
      <c r="O52" s="396">
        <v>99751.56</v>
      </c>
      <c r="P52" s="871" t="s">
        <v>1092</v>
      </c>
      <c r="Q52" s="435" t="s">
        <v>1091</v>
      </c>
      <c r="R52" s="435">
        <v>24653.31</v>
      </c>
      <c r="S52" s="722" t="s">
        <v>977</v>
      </c>
      <c r="T52" s="397">
        <v>44905100</v>
      </c>
      <c r="U52" s="886">
        <f>54467.33+69578.84</f>
        <v>124046.17</v>
      </c>
      <c r="V52" s="789">
        <v>0</v>
      </c>
      <c r="W52" s="886">
        <v>0</v>
      </c>
      <c r="X52" s="886">
        <f>50000+4467.33+24294.61+45284.23</f>
        <v>124046.17000000001</v>
      </c>
      <c r="Y52" s="1018" t="s">
        <v>1365</v>
      </c>
      <c r="Z52" s="1025">
        <f>Z51-AB51</f>
        <v>0</v>
      </c>
      <c r="AA52" s="1023"/>
      <c r="AC52" s="661">
        <f>V51-AC51</f>
        <v>3663728.51</v>
      </c>
      <c r="AE52" s="124">
        <f>245000+392131.92+310000+336932.65+330000+309176.78+632124.76+435000</f>
        <v>2990366.11</v>
      </c>
    </row>
    <row r="53" spans="1:31" ht="22.8" x14ac:dyDescent="0.4">
      <c r="B53" s="822"/>
      <c r="C53" s="889"/>
      <c r="D53" s="831"/>
      <c r="E53" s="831"/>
      <c r="F53" s="831"/>
      <c r="G53" s="831"/>
      <c r="H53" s="889"/>
      <c r="I53" s="889"/>
      <c r="J53" s="889"/>
      <c r="K53" s="889"/>
      <c r="L53" s="890"/>
      <c r="M53" s="890"/>
      <c r="N53" s="890"/>
      <c r="O53" s="890"/>
      <c r="P53" s="869"/>
      <c r="Q53" s="890"/>
      <c r="R53" s="890"/>
      <c r="S53" s="890"/>
      <c r="T53" s="890"/>
      <c r="U53" s="890"/>
      <c r="V53" s="881"/>
      <c r="W53" s="884"/>
      <c r="X53" s="811"/>
      <c r="Y53" s="1016"/>
      <c r="Z53" s="1025"/>
      <c r="AB53" s="23">
        <f>U51-X51</f>
        <v>0</v>
      </c>
    </row>
    <row r="54" spans="1:31" s="865" customFormat="1" ht="22.8" x14ac:dyDescent="0.4">
      <c r="A54" s="876"/>
      <c r="B54" s="828"/>
      <c r="C54" s="996" t="s">
        <v>589</v>
      </c>
      <c r="D54" s="996"/>
      <c r="E54" s="996"/>
      <c r="F54" s="996"/>
      <c r="G54" s="996"/>
      <c r="H54" s="996"/>
      <c r="I54" s="996"/>
      <c r="J54" s="996"/>
      <c r="K54" s="996"/>
      <c r="L54" s="996"/>
      <c r="M54" s="891"/>
      <c r="N54" s="891"/>
      <c r="O54" s="891"/>
      <c r="P54" s="870"/>
      <c r="Q54" s="891"/>
      <c r="R54" s="891"/>
      <c r="S54" s="891"/>
      <c r="T54" s="891"/>
      <c r="U54" s="891"/>
      <c r="V54" s="882"/>
      <c r="W54" s="786"/>
      <c r="X54" s="786"/>
      <c r="Y54" s="1017"/>
      <c r="Z54" s="1024"/>
      <c r="AA54" s="1024"/>
    </row>
    <row r="55" spans="1:31" ht="22.8" x14ac:dyDescent="0.4">
      <c r="B55" s="828"/>
      <c r="C55" s="996" t="s">
        <v>364</v>
      </c>
      <c r="D55" s="996"/>
      <c r="E55" s="996"/>
      <c r="F55" s="996"/>
      <c r="G55" s="996"/>
      <c r="H55" s="996"/>
      <c r="I55" s="996"/>
      <c r="J55" s="996"/>
      <c r="K55" s="996"/>
      <c r="L55" s="997"/>
      <c r="M55" s="892"/>
      <c r="N55" s="892"/>
      <c r="O55" s="892"/>
      <c r="P55" s="867"/>
      <c r="Q55" s="892"/>
      <c r="R55" s="892"/>
      <c r="S55" s="892"/>
      <c r="T55" s="892"/>
      <c r="U55" s="892"/>
      <c r="V55" s="883"/>
      <c r="W55" s="786"/>
      <c r="X55" s="786"/>
      <c r="Y55" s="1017"/>
    </row>
    <row r="56" spans="1:31" s="124" customFormat="1" ht="30.6" x14ac:dyDescent="0.25">
      <c r="A56" s="877"/>
      <c r="B56" s="798" t="s">
        <v>608</v>
      </c>
      <c r="C56" s="787" t="s">
        <v>607</v>
      </c>
      <c r="D56" s="885" t="s">
        <v>225</v>
      </c>
      <c r="E56" s="885" t="s">
        <v>225</v>
      </c>
      <c r="F56" s="885" t="s">
        <v>225</v>
      </c>
      <c r="G56" s="885" t="s">
        <v>225</v>
      </c>
      <c r="H56" s="398"/>
      <c r="I56" s="434"/>
      <c r="J56" s="396" t="s">
        <v>943</v>
      </c>
      <c r="K56" s="791" t="s">
        <v>942</v>
      </c>
      <c r="L56" s="397" t="s">
        <v>606</v>
      </c>
      <c r="M56" s="792" t="s">
        <v>983</v>
      </c>
      <c r="N56" s="435" t="s">
        <v>984</v>
      </c>
      <c r="O56" s="396">
        <v>7621.55</v>
      </c>
      <c r="P56" s="791">
        <v>42066</v>
      </c>
      <c r="Q56" s="435" t="s">
        <v>977</v>
      </c>
      <c r="R56" s="435" t="s">
        <v>977</v>
      </c>
      <c r="S56" s="435" t="s">
        <v>977</v>
      </c>
      <c r="T56" s="793">
        <v>44905100</v>
      </c>
      <c r="U56" s="789">
        <v>3067.81</v>
      </c>
      <c r="V56" s="789">
        <v>0</v>
      </c>
      <c r="W56" s="789">
        <v>0</v>
      </c>
      <c r="X56" s="789">
        <v>3067.81</v>
      </c>
      <c r="Y56" s="1018" t="s">
        <v>1365</v>
      </c>
      <c r="Z56" s="1023"/>
      <c r="AA56" s="1027"/>
    </row>
    <row r="57" spans="1:31" s="124" customFormat="1" ht="20.399999999999999" x14ac:dyDescent="0.25">
      <c r="A57" s="877"/>
      <c r="B57" s="798" t="s">
        <v>615</v>
      </c>
      <c r="C57" s="787" t="s">
        <v>614</v>
      </c>
      <c r="D57" s="885" t="s">
        <v>225</v>
      </c>
      <c r="E57" s="885" t="s">
        <v>225</v>
      </c>
      <c r="F57" s="885" t="s">
        <v>225</v>
      </c>
      <c r="G57" s="885" t="s">
        <v>225</v>
      </c>
      <c r="H57" s="398"/>
      <c r="I57" s="434"/>
      <c r="J57" s="396" t="s">
        <v>941</v>
      </c>
      <c r="K57" s="791" t="s">
        <v>939</v>
      </c>
      <c r="L57" s="397" t="s">
        <v>609</v>
      </c>
      <c r="M57" s="792" t="s">
        <v>985</v>
      </c>
      <c r="N57" s="435" t="s">
        <v>984</v>
      </c>
      <c r="O57" s="396">
        <v>9709.4599999999991</v>
      </c>
      <c r="P57" s="1036" t="str">
        <f>Y57</f>
        <v>OBRA NÃO INICIADA</v>
      </c>
      <c r="Q57" s="435" t="s">
        <v>977</v>
      </c>
      <c r="R57" s="435" t="s">
        <v>977</v>
      </c>
      <c r="S57" s="435" t="s">
        <v>977</v>
      </c>
      <c r="T57" s="793">
        <v>44905100</v>
      </c>
      <c r="U57" s="796" t="s">
        <v>1028</v>
      </c>
      <c r="V57" s="796" t="s">
        <v>1028</v>
      </c>
      <c r="W57" s="796" t="s">
        <v>1028</v>
      </c>
      <c r="X57" s="796" t="s">
        <v>1028</v>
      </c>
      <c r="Y57" s="1018" t="s">
        <v>1028</v>
      </c>
      <c r="Z57" s="1023"/>
      <c r="AA57" s="1027"/>
    </row>
    <row r="58" spans="1:31" s="124" customFormat="1" ht="51" x14ac:dyDescent="0.25">
      <c r="A58" s="877"/>
      <c r="B58" s="798" t="s">
        <v>620</v>
      </c>
      <c r="C58" s="787" t="s">
        <v>619</v>
      </c>
      <c r="D58" s="885" t="s">
        <v>225</v>
      </c>
      <c r="E58" s="885" t="s">
        <v>225</v>
      </c>
      <c r="F58" s="885" t="s">
        <v>225</v>
      </c>
      <c r="G58" s="885" t="s">
        <v>225</v>
      </c>
      <c r="H58" s="398"/>
      <c r="I58" s="434"/>
      <c r="J58" s="396" t="s">
        <v>978</v>
      </c>
      <c r="K58" s="435" t="s">
        <v>570</v>
      </c>
      <c r="L58" s="791" t="s">
        <v>621</v>
      </c>
      <c r="M58" s="792" t="s">
        <v>979</v>
      </c>
      <c r="N58" s="435" t="s">
        <v>980</v>
      </c>
      <c r="O58" s="396">
        <v>361987.73</v>
      </c>
      <c r="P58" s="817" t="str">
        <f>Y58</f>
        <v>EM ANDAMENTO</v>
      </c>
      <c r="Q58" s="396" t="s">
        <v>1373</v>
      </c>
      <c r="R58" s="819">
        <f>63181.65+7512.3+21719.24</f>
        <v>92413.19</v>
      </c>
      <c r="S58" s="435" t="s">
        <v>977</v>
      </c>
      <c r="T58" s="793">
        <v>44905100</v>
      </c>
      <c r="U58" s="886">
        <f>35811.1+41618.5+27064.52+22862.1+11062.44+7512.3+1815.58+30259.58+11742.82+15410.15</f>
        <v>205159.09</v>
      </c>
      <c r="V58" s="789">
        <f>11742.82+15410.15</f>
        <v>27152.97</v>
      </c>
      <c r="W58" s="886">
        <f>7512.3+30259.58+V58</f>
        <v>64924.850000000006</v>
      </c>
      <c r="X58" s="789">
        <f>35811.1+41618.5+27064.47+22862.1+11062.39+W58</f>
        <v>203343.41</v>
      </c>
      <c r="Y58" s="1020" t="s">
        <v>641</v>
      </c>
      <c r="Z58" s="1025">
        <f>O58+R58-X58</f>
        <v>251057.50999999998</v>
      </c>
      <c r="AA58" s="1028">
        <f>U58-X58</f>
        <v>1815.679999999993</v>
      </c>
    </row>
    <row r="59" spans="1:31" s="124" customFormat="1" ht="103.5" customHeight="1" x14ac:dyDescent="0.25">
      <c r="A59" s="877"/>
      <c r="B59" s="798" t="s">
        <v>623</v>
      </c>
      <c r="C59" s="814" t="s">
        <v>622</v>
      </c>
      <c r="D59" s="885" t="s">
        <v>225</v>
      </c>
      <c r="E59" s="885" t="s">
        <v>225</v>
      </c>
      <c r="F59" s="885" t="s">
        <v>225</v>
      </c>
      <c r="G59" s="885" t="s">
        <v>225</v>
      </c>
      <c r="H59" s="398"/>
      <c r="I59" s="434"/>
      <c r="J59" s="396" t="s">
        <v>986</v>
      </c>
      <c r="K59" s="791" t="s">
        <v>1246</v>
      </c>
      <c r="L59" s="397" t="s">
        <v>624</v>
      </c>
      <c r="M59" s="792" t="s">
        <v>988</v>
      </c>
      <c r="N59" s="435" t="s">
        <v>982</v>
      </c>
      <c r="O59" s="396">
        <v>147505.04999999999</v>
      </c>
      <c r="P59" s="817" t="str">
        <f>Y59</f>
        <v>EM ANDAMENTO</v>
      </c>
      <c r="Q59" s="396" t="s">
        <v>1369</v>
      </c>
      <c r="R59" s="435" t="s">
        <v>977</v>
      </c>
      <c r="S59" s="435" t="s">
        <v>1260</v>
      </c>
      <c r="T59" s="793">
        <v>44905100</v>
      </c>
      <c r="U59" s="886">
        <v>88503.03</v>
      </c>
      <c r="V59" s="789">
        <v>0</v>
      </c>
      <c r="W59" s="886">
        <v>0</v>
      </c>
      <c r="X59" s="789">
        <f>88503.03</f>
        <v>88503.03</v>
      </c>
      <c r="Y59" s="1020" t="s">
        <v>641</v>
      </c>
      <c r="Z59" s="1025">
        <f>O59-X59</f>
        <v>59002.01999999999</v>
      </c>
      <c r="AA59" s="1028">
        <f>U59-X59</f>
        <v>0</v>
      </c>
    </row>
    <row r="60" spans="1:31" s="865" customFormat="1" ht="22.8" x14ac:dyDescent="0.4">
      <c r="A60" s="876"/>
      <c r="B60" s="828"/>
      <c r="C60" s="996" t="s">
        <v>807</v>
      </c>
      <c r="D60" s="996"/>
      <c r="E60" s="996"/>
      <c r="F60" s="996"/>
      <c r="G60" s="996"/>
      <c r="H60" s="996"/>
      <c r="I60" s="996"/>
      <c r="J60" s="996"/>
      <c r="K60" s="996"/>
      <c r="L60" s="996"/>
      <c r="M60" s="891"/>
      <c r="N60" s="891"/>
      <c r="O60" s="891"/>
      <c r="P60" s="870"/>
      <c r="Q60" s="891"/>
      <c r="R60" s="891"/>
      <c r="S60" s="891"/>
      <c r="T60" s="891"/>
      <c r="U60" s="891"/>
      <c r="V60" s="786"/>
      <c r="W60" s="786"/>
      <c r="X60" s="786"/>
      <c r="Y60" s="1017"/>
      <c r="Z60" s="1025">
        <f t="shared" ref="Z60:Z64" si="3">O60-X60</f>
        <v>0</v>
      </c>
      <c r="AA60" s="1028">
        <f t="shared" ref="AA60:AA64" si="4">U60-X60</f>
        <v>0</v>
      </c>
    </row>
    <row r="61" spans="1:31" s="124" customFormat="1" ht="40.799999999999997" x14ac:dyDescent="0.25">
      <c r="A61" s="877"/>
      <c r="B61" s="885" t="s">
        <v>642</v>
      </c>
      <c r="C61" s="787" t="s">
        <v>640</v>
      </c>
      <c r="D61" s="885" t="s">
        <v>225</v>
      </c>
      <c r="E61" s="885" t="s">
        <v>225</v>
      </c>
      <c r="F61" s="885" t="s">
        <v>225</v>
      </c>
      <c r="G61" s="885" t="s">
        <v>225</v>
      </c>
      <c r="H61" s="398"/>
      <c r="I61" s="434"/>
      <c r="J61" s="396" t="s">
        <v>941</v>
      </c>
      <c r="K61" s="791" t="s">
        <v>939</v>
      </c>
      <c r="L61" s="397" t="s">
        <v>636</v>
      </c>
      <c r="M61" s="792" t="s">
        <v>991</v>
      </c>
      <c r="N61" s="722" t="s">
        <v>984</v>
      </c>
      <c r="O61" s="722">
        <v>14046.58</v>
      </c>
      <c r="P61" s="791">
        <v>42172</v>
      </c>
      <c r="Q61" s="435" t="s">
        <v>977</v>
      </c>
      <c r="R61" s="435" t="s">
        <v>977</v>
      </c>
      <c r="S61" s="435" t="s">
        <v>977</v>
      </c>
      <c r="T61" s="793">
        <v>44905100</v>
      </c>
      <c r="U61" s="886">
        <v>8262.7099999999991</v>
      </c>
      <c r="V61" s="797">
        <v>0</v>
      </c>
      <c r="W61" s="886">
        <v>8262.7099999999991</v>
      </c>
      <c r="X61" s="797">
        <f>W61+V61</f>
        <v>8262.7099999999991</v>
      </c>
      <c r="Y61" s="1018" t="s">
        <v>1365</v>
      </c>
      <c r="Z61" s="1025">
        <f>O61-X61</f>
        <v>5783.8700000000008</v>
      </c>
      <c r="AA61" s="1028">
        <f t="shared" si="4"/>
        <v>0</v>
      </c>
    </row>
    <row r="62" spans="1:31" s="124" customFormat="1" ht="29.4" customHeight="1" x14ac:dyDescent="0.25">
      <c r="A62" s="877"/>
      <c r="B62" s="885" t="s">
        <v>655</v>
      </c>
      <c r="C62" s="787" t="s">
        <v>654</v>
      </c>
      <c r="D62" s="885" t="s">
        <v>225</v>
      </c>
      <c r="E62" s="885" t="s">
        <v>225</v>
      </c>
      <c r="F62" s="885" t="s">
        <v>225</v>
      </c>
      <c r="G62" s="885" t="s">
        <v>225</v>
      </c>
      <c r="H62" s="398"/>
      <c r="I62" s="434"/>
      <c r="J62" s="397" t="s">
        <v>992</v>
      </c>
      <c r="K62" s="397" t="s">
        <v>569</v>
      </c>
      <c r="L62" s="397" t="s">
        <v>633</v>
      </c>
      <c r="M62" s="397" t="s">
        <v>993</v>
      </c>
      <c r="N62" s="397" t="s">
        <v>980</v>
      </c>
      <c r="O62" s="397" t="s">
        <v>656</v>
      </c>
      <c r="P62" s="871" t="s">
        <v>1401</v>
      </c>
      <c r="Q62" s="397" t="s">
        <v>1384</v>
      </c>
      <c r="R62" s="397" t="s">
        <v>1626</v>
      </c>
      <c r="S62" s="397" t="s">
        <v>977</v>
      </c>
      <c r="T62" s="397" t="s">
        <v>995</v>
      </c>
      <c r="U62" s="886">
        <f>34294.05+16357.88+34317.75+13140.76+1800+8270.87+4215.26</f>
        <v>112396.56999999998</v>
      </c>
      <c r="V62" s="797">
        <v>0</v>
      </c>
      <c r="W62" s="797">
        <f>X62</f>
        <v>96045.689999999988</v>
      </c>
      <c r="X62" s="797">
        <f>34317.75+34294.05+1800+13147.76+4215.26+8270.87</f>
        <v>96045.689999999988</v>
      </c>
      <c r="Y62" s="1018" t="s">
        <v>1365</v>
      </c>
      <c r="Z62" s="1025">
        <f t="shared" si="3"/>
        <v>-5822.1499999999942</v>
      </c>
      <c r="AA62" s="1028">
        <f t="shared" si="4"/>
        <v>16350.87999999999</v>
      </c>
      <c r="AB62" s="457"/>
    </row>
    <row r="63" spans="1:31" s="124" customFormat="1" ht="30.6" x14ac:dyDescent="0.25">
      <c r="A63" s="877"/>
      <c r="B63" s="885" t="s">
        <v>659</v>
      </c>
      <c r="C63" s="787" t="s">
        <v>1097</v>
      </c>
      <c r="D63" s="885" t="s">
        <v>225</v>
      </c>
      <c r="E63" s="885" t="s">
        <v>225</v>
      </c>
      <c r="F63" s="885" t="s">
        <v>225</v>
      </c>
      <c r="G63" s="885" t="s">
        <v>225</v>
      </c>
      <c r="H63" s="398"/>
      <c r="I63" s="434"/>
      <c r="J63" s="396" t="s">
        <v>941</v>
      </c>
      <c r="K63" s="791" t="s">
        <v>939</v>
      </c>
      <c r="L63" s="397" t="s">
        <v>639</v>
      </c>
      <c r="M63" s="397" t="s">
        <v>994</v>
      </c>
      <c r="N63" s="397" t="s">
        <v>980</v>
      </c>
      <c r="O63" s="397" t="s">
        <v>660</v>
      </c>
      <c r="P63" s="871" t="str">
        <f>Y63</f>
        <v>EM ANDAMENTO</v>
      </c>
      <c r="Q63" s="397" t="s">
        <v>1386</v>
      </c>
      <c r="R63" s="397" t="s">
        <v>1385</v>
      </c>
      <c r="S63" s="397" t="s">
        <v>977</v>
      </c>
      <c r="T63" s="397" t="s">
        <v>995</v>
      </c>
      <c r="U63" s="886">
        <f>114825.94+78324.45+74726.77+52677.57+30124.2+12372.87+15440.77+14008.02+11917.62+4903.17+16604.48</f>
        <v>425925.86000000004</v>
      </c>
      <c r="V63" s="797">
        <v>0</v>
      </c>
      <c r="W63" s="886">
        <f>15440.77+12372.87+14008.02+11917.62+4903.17+16604.48</f>
        <v>75246.930000000008</v>
      </c>
      <c r="X63" s="797">
        <f>78324.45+74726.77+30124.2+52677.57+W63</f>
        <v>311099.92000000004</v>
      </c>
      <c r="Y63" s="1020" t="s">
        <v>641</v>
      </c>
      <c r="Z63" s="1025">
        <f t="shared" si="3"/>
        <v>-18936.47000000003</v>
      </c>
      <c r="AA63" s="1028">
        <f t="shared" si="4"/>
        <v>114825.94</v>
      </c>
    </row>
    <row r="64" spans="1:31" s="124" customFormat="1" ht="40.799999999999997" x14ac:dyDescent="0.25">
      <c r="A64" s="877"/>
      <c r="B64" s="885" t="s">
        <v>667</v>
      </c>
      <c r="C64" s="787" t="s">
        <v>666</v>
      </c>
      <c r="D64" s="885" t="s">
        <v>225</v>
      </c>
      <c r="E64" s="885" t="s">
        <v>225</v>
      </c>
      <c r="F64" s="885" t="s">
        <v>225</v>
      </c>
      <c r="G64" s="885" t="s">
        <v>225</v>
      </c>
      <c r="H64" s="398"/>
      <c r="I64" s="434"/>
      <c r="J64" s="396" t="s">
        <v>926</v>
      </c>
      <c r="K64" s="791" t="s">
        <v>549</v>
      </c>
      <c r="L64" s="397" t="s">
        <v>648</v>
      </c>
      <c r="M64" s="397" t="s">
        <v>999</v>
      </c>
      <c r="N64" s="722" t="s">
        <v>976</v>
      </c>
      <c r="O64" s="722">
        <v>343478.55</v>
      </c>
      <c r="P64" s="791">
        <v>42468</v>
      </c>
      <c r="Q64" s="396" t="s">
        <v>1370</v>
      </c>
      <c r="R64" s="396">
        <v>80533.45</v>
      </c>
      <c r="S64" s="397" t="s">
        <v>977</v>
      </c>
      <c r="T64" s="397" t="s">
        <v>995</v>
      </c>
      <c r="U64" s="886">
        <f>62248.1+30645.21+41181.32+102749.38+10394.96+7923.55+30140.08+21149.63+37046.32+15467+45079.23+19987.22</f>
        <v>424012</v>
      </c>
      <c r="V64" s="797">
        <v>0</v>
      </c>
      <c r="W64" s="886">
        <f>21149.63+37046.32+15457+25000+20079.23+19987.22</f>
        <v>138719.4</v>
      </c>
      <c r="X64" s="797">
        <f>62248.1+30645.21+41181.32+80000+10394.96+11374.69+11374.69+7923.55+30140.08+W64</f>
        <v>424002</v>
      </c>
      <c r="Y64" s="1032" t="s">
        <v>1365</v>
      </c>
      <c r="Z64" s="1025">
        <f t="shared" si="3"/>
        <v>-80523.450000000012</v>
      </c>
      <c r="AA64" s="1028">
        <f t="shared" si="4"/>
        <v>10</v>
      </c>
      <c r="AB64" s="661"/>
    </row>
    <row r="65" spans="1:28" s="124" customFormat="1" ht="30.6" x14ac:dyDescent="0.25">
      <c r="A65" s="877"/>
      <c r="B65" s="885" t="s">
        <v>675</v>
      </c>
      <c r="C65" s="787" t="s">
        <v>674</v>
      </c>
      <c r="D65" s="885" t="s">
        <v>225</v>
      </c>
      <c r="E65" s="885" t="s">
        <v>225</v>
      </c>
      <c r="F65" s="885" t="s">
        <v>225</v>
      </c>
      <c r="G65" s="885" t="s">
        <v>225</v>
      </c>
      <c r="H65" s="398"/>
      <c r="I65" s="434"/>
      <c r="J65" s="397" t="s">
        <v>1000</v>
      </c>
      <c r="K65" s="397" t="s">
        <v>554</v>
      </c>
      <c r="L65" s="791" t="s">
        <v>684</v>
      </c>
      <c r="M65" s="397" t="s">
        <v>1001</v>
      </c>
      <c r="N65" s="397" t="s">
        <v>1002</v>
      </c>
      <c r="O65" s="397" t="s">
        <v>794</v>
      </c>
      <c r="P65" s="397" t="str">
        <f>Y65</f>
        <v>OBRA NÃO INICIADA</v>
      </c>
      <c r="Q65" s="397" t="s">
        <v>977</v>
      </c>
      <c r="R65" s="397" t="s">
        <v>977</v>
      </c>
      <c r="S65" s="397" t="s">
        <v>977</v>
      </c>
      <c r="T65" s="397" t="s">
        <v>1390</v>
      </c>
      <c r="U65" s="815" t="s">
        <v>1028</v>
      </c>
      <c r="V65" s="815" t="s">
        <v>1028</v>
      </c>
      <c r="W65" s="815" t="s">
        <v>1028</v>
      </c>
      <c r="X65" s="815" t="s">
        <v>1028</v>
      </c>
      <c r="Y65" s="1020" t="s">
        <v>1028</v>
      </c>
      <c r="Z65" s="1025"/>
      <c r="AA65" s="1028"/>
    </row>
    <row r="66" spans="1:28" s="124" customFormat="1" ht="39.6" customHeight="1" x14ac:dyDescent="0.25">
      <c r="A66" s="877"/>
      <c r="B66" s="885" t="s">
        <v>678</v>
      </c>
      <c r="C66" s="787" t="s">
        <v>677</v>
      </c>
      <c r="D66" s="885" t="s">
        <v>225</v>
      </c>
      <c r="E66" s="885" t="s">
        <v>225</v>
      </c>
      <c r="F66" s="885" t="s">
        <v>225</v>
      </c>
      <c r="G66" s="885" t="s">
        <v>225</v>
      </c>
      <c r="H66" s="398"/>
      <c r="I66" s="434"/>
      <c r="J66" s="396" t="s">
        <v>926</v>
      </c>
      <c r="K66" s="791" t="s">
        <v>549</v>
      </c>
      <c r="L66" s="791" t="s">
        <v>657</v>
      </c>
      <c r="M66" s="397" t="s">
        <v>1029</v>
      </c>
      <c r="N66" s="397" t="s">
        <v>976</v>
      </c>
      <c r="O66" s="397" t="s">
        <v>679</v>
      </c>
      <c r="P66" s="397" t="str">
        <f>Y66</f>
        <v>DISTRATADA</v>
      </c>
      <c r="Q66" s="397" t="s">
        <v>977</v>
      </c>
      <c r="R66" s="397" t="s">
        <v>977</v>
      </c>
      <c r="S66" s="397" t="s">
        <v>977</v>
      </c>
      <c r="T66" s="397" t="s">
        <v>1390</v>
      </c>
      <c r="U66" s="886">
        <v>0</v>
      </c>
      <c r="V66" s="886">
        <v>0</v>
      </c>
      <c r="W66" s="886">
        <v>0</v>
      </c>
      <c r="X66" s="886">
        <v>0</v>
      </c>
      <c r="Y66" s="1033" t="s">
        <v>1387</v>
      </c>
      <c r="Z66" s="1025">
        <f>O66-X66</f>
        <v>25758.97</v>
      </c>
      <c r="AA66" s="1028">
        <f>U66-X66</f>
        <v>0</v>
      </c>
    </row>
    <row r="67" spans="1:28" s="124" customFormat="1" ht="81" customHeight="1" x14ac:dyDescent="0.25">
      <c r="A67" s="877"/>
      <c r="B67" s="885" t="s">
        <v>686</v>
      </c>
      <c r="C67" s="787" t="s">
        <v>685</v>
      </c>
      <c r="D67" s="885" t="s">
        <v>225</v>
      </c>
      <c r="E67" s="885" t="s">
        <v>225</v>
      </c>
      <c r="F67" s="885" t="s">
        <v>225</v>
      </c>
      <c r="G67" s="885" t="s">
        <v>225</v>
      </c>
      <c r="H67" s="398"/>
      <c r="I67" s="434"/>
      <c r="J67" s="396" t="s">
        <v>941</v>
      </c>
      <c r="K67" s="791" t="s">
        <v>939</v>
      </c>
      <c r="L67" s="397" t="s">
        <v>665</v>
      </c>
      <c r="M67" s="397" t="s">
        <v>1003</v>
      </c>
      <c r="N67" s="722" t="s">
        <v>1002</v>
      </c>
      <c r="O67" s="397" t="s">
        <v>687</v>
      </c>
      <c r="P67" s="397" t="s">
        <v>1402</v>
      </c>
      <c r="Q67" s="722" t="s">
        <v>1002</v>
      </c>
      <c r="R67" s="791" t="s">
        <v>1262</v>
      </c>
      <c r="S67" s="722" t="s">
        <v>977</v>
      </c>
      <c r="T67" s="397" t="s">
        <v>995</v>
      </c>
      <c r="U67" s="886">
        <f>118216.46+56765.88+18825.68+23422.21+152091.76+101196.54+15565.34+25411.7+23622.38+18232.2+27937.72+44865.61+78100.55+27040.89+46931.39+37345.73+32129.03</f>
        <v>847701.07</v>
      </c>
      <c r="V67" s="797">
        <v>0</v>
      </c>
      <c r="W67" s="886">
        <f>10000+8232.2+27937.72+44865.61+78100.55+27040.89+46931.39+37345.73+32129.03</f>
        <v>312583.12</v>
      </c>
      <c r="X67" s="797">
        <f>56765.88+18825.68+20161.87+101196.54+152091.76+23622.38+25411.7+15565.34+W67</f>
        <v>726224.27</v>
      </c>
      <c r="Y67" s="1032" t="s">
        <v>1365</v>
      </c>
      <c r="Z67" s="1025">
        <f t="shared" ref="Z67" si="5">O67-X67</f>
        <v>-159919.95999999996</v>
      </c>
      <c r="AA67" s="1028">
        <f t="shared" ref="AA67" si="6">U67-X67</f>
        <v>121476.79999999993</v>
      </c>
    </row>
    <row r="68" spans="1:28" s="124" customFormat="1" ht="30.6" x14ac:dyDescent="0.25">
      <c r="A68" s="877"/>
      <c r="B68" s="885" t="s">
        <v>693</v>
      </c>
      <c r="C68" s="787" t="s">
        <v>692</v>
      </c>
      <c r="D68" s="885" t="s">
        <v>225</v>
      </c>
      <c r="E68" s="885" t="s">
        <v>225</v>
      </c>
      <c r="F68" s="885" t="s">
        <v>225</v>
      </c>
      <c r="G68" s="885" t="s">
        <v>225</v>
      </c>
      <c r="H68" s="398"/>
      <c r="I68" s="434"/>
      <c r="J68" s="396" t="s">
        <v>941</v>
      </c>
      <c r="K68" s="791" t="s">
        <v>939</v>
      </c>
      <c r="L68" s="397" t="s">
        <v>669</v>
      </c>
      <c r="M68" s="397" t="s">
        <v>1003</v>
      </c>
      <c r="N68" s="722" t="s">
        <v>976</v>
      </c>
      <c r="O68" s="397" t="s">
        <v>694</v>
      </c>
      <c r="P68" s="397" t="s">
        <v>1403</v>
      </c>
      <c r="Q68" s="396" t="s">
        <v>1115</v>
      </c>
      <c r="R68" s="791" t="s">
        <v>1263</v>
      </c>
      <c r="S68" s="722" t="s">
        <v>977</v>
      </c>
      <c r="T68" s="397" t="s">
        <v>995</v>
      </c>
      <c r="U68" s="886">
        <f>7335.76+26268.37+75954.76+25115.46+25753.07+7941.7+14614.33</f>
        <v>182983.44999999998</v>
      </c>
      <c r="V68" s="797">
        <v>0</v>
      </c>
      <c r="W68" s="886">
        <v>0</v>
      </c>
      <c r="X68" s="797">
        <f>7335.76+25753.07+14614.33+26268.37+75954.76+7941.1+25115.46</f>
        <v>182982.84999999998</v>
      </c>
      <c r="Y68" s="1032" t="s">
        <v>1038</v>
      </c>
      <c r="Z68" s="1025">
        <f t="shared" ref="Z68:Z71" si="7">O68-X68</f>
        <v>75239.320000000036</v>
      </c>
      <c r="AA68" s="1028">
        <f t="shared" ref="AA68:AA71" si="8">U68-X68</f>
        <v>0.60000000000582077</v>
      </c>
    </row>
    <row r="69" spans="1:28" s="124" customFormat="1" ht="30.6" x14ac:dyDescent="0.25">
      <c r="A69" s="877"/>
      <c r="B69" s="885" t="s">
        <v>1264</v>
      </c>
      <c r="C69" s="787" t="s">
        <v>699</v>
      </c>
      <c r="D69" s="885" t="s">
        <v>225</v>
      </c>
      <c r="E69" s="885" t="s">
        <v>225</v>
      </c>
      <c r="F69" s="885" t="s">
        <v>225</v>
      </c>
      <c r="G69" s="885" t="s">
        <v>225</v>
      </c>
      <c r="H69" s="398"/>
      <c r="I69" s="434"/>
      <c r="J69" s="791" t="s">
        <v>671</v>
      </c>
      <c r="K69" s="791" t="s">
        <v>671</v>
      </c>
      <c r="L69" s="791" t="s">
        <v>671</v>
      </c>
      <c r="M69" s="791" t="s">
        <v>671</v>
      </c>
      <c r="N69" s="791" t="s">
        <v>671</v>
      </c>
      <c r="O69" s="791" t="s">
        <v>671</v>
      </c>
      <c r="P69" s="397" t="str">
        <f t="shared" ref="P69" si="9">Y69</f>
        <v>LICITAÇÃO EM ANDAMENTO</v>
      </c>
      <c r="Q69" s="791" t="s">
        <v>671</v>
      </c>
      <c r="R69" s="791" t="s">
        <v>671</v>
      </c>
      <c r="S69" s="791" t="s">
        <v>671</v>
      </c>
      <c r="T69" s="791" t="s">
        <v>671</v>
      </c>
      <c r="U69" s="791" t="s">
        <v>671</v>
      </c>
      <c r="V69" s="791" t="s">
        <v>671</v>
      </c>
      <c r="W69" s="791" t="s">
        <v>671</v>
      </c>
      <c r="X69" s="791" t="s">
        <v>671</v>
      </c>
      <c r="Y69" s="1020" t="s">
        <v>671</v>
      </c>
      <c r="Z69" s="1025"/>
      <c r="AA69" s="1028"/>
    </row>
    <row r="70" spans="1:28" s="124" customFormat="1" ht="39" customHeight="1" x14ac:dyDescent="0.25">
      <c r="A70" s="877"/>
      <c r="B70" s="885" t="s">
        <v>704</v>
      </c>
      <c r="C70" s="787" t="s">
        <v>703</v>
      </c>
      <c r="D70" s="885" t="s">
        <v>225</v>
      </c>
      <c r="E70" s="885" t="s">
        <v>225</v>
      </c>
      <c r="F70" s="885" t="s">
        <v>225</v>
      </c>
      <c r="G70" s="885" t="s">
        <v>225</v>
      </c>
      <c r="H70" s="398"/>
      <c r="I70" s="434"/>
      <c r="J70" s="722" t="s">
        <v>1006</v>
      </c>
      <c r="K70" s="791" t="s">
        <v>1007</v>
      </c>
      <c r="L70" s="397" t="s">
        <v>673</v>
      </c>
      <c r="M70" s="397" t="s">
        <v>1008</v>
      </c>
      <c r="N70" s="722" t="s">
        <v>976</v>
      </c>
      <c r="O70" s="722">
        <v>67408.289999999994</v>
      </c>
      <c r="P70" s="397" t="s">
        <v>1404</v>
      </c>
      <c r="Q70" s="820" t="s">
        <v>1371</v>
      </c>
      <c r="R70" s="722">
        <v>7938.39</v>
      </c>
      <c r="S70" s="722" t="s">
        <v>977</v>
      </c>
      <c r="T70" s="397" t="s">
        <v>995</v>
      </c>
      <c r="U70" s="886">
        <f>16650.02+18923.19+25680.44+6463.11+7938.39</f>
        <v>75655.149999999994</v>
      </c>
      <c r="V70" s="886">
        <v>0</v>
      </c>
      <c r="W70" s="886">
        <f>25680.44+6463.11+7938.39+11743.93</f>
        <v>51825.87</v>
      </c>
      <c r="X70" s="797">
        <f>16650.02+7179.26+W70</f>
        <v>75655.149999999994</v>
      </c>
      <c r="Y70" s="1032" t="s">
        <v>1365</v>
      </c>
      <c r="Z70" s="1025">
        <f t="shared" si="7"/>
        <v>-8246.86</v>
      </c>
      <c r="AA70" s="1028">
        <f t="shared" si="8"/>
        <v>0</v>
      </c>
      <c r="AB70" s="1022">
        <f>AA70+Z70</f>
        <v>-8246.86</v>
      </c>
    </row>
    <row r="71" spans="1:28" s="865" customFormat="1" ht="22.8" x14ac:dyDescent="0.4">
      <c r="A71" s="876"/>
      <c r="B71" s="828"/>
      <c r="C71" s="996" t="s">
        <v>808</v>
      </c>
      <c r="D71" s="996"/>
      <c r="E71" s="996"/>
      <c r="F71" s="996"/>
      <c r="G71" s="996"/>
      <c r="H71" s="996"/>
      <c r="I71" s="996"/>
      <c r="J71" s="996"/>
      <c r="K71" s="996"/>
      <c r="L71" s="996"/>
      <c r="M71" s="891"/>
      <c r="N71" s="891"/>
      <c r="O71" s="891"/>
      <c r="P71" s="870"/>
      <c r="Q71" s="891"/>
      <c r="R71" s="891"/>
      <c r="S71" s="891"/>
      <c r="T71" s="891"/>
      <c r="U71" s="891"/>
      <c r="V71" s="786"/>
      <c r="W71" s="786"/>
      <c r="X71" s="786"/>
      <c r="Y71" s="1017"/>
      <c r="Z71" s="1025">
        <f t="shared" si="7"/>
        <v>0</v>
      </c>
      <c r="AA71" s="1028">
        <f t="shared" si="8"/>
        <v>0</v>
      </c>
    </row>
    <row r="72" spans="1:28" s="124" customFormat="1" ht="111" customHeight="1" x14ac:dyDescent="0.25">
      <c r="A72" s="877"/>
      <c r="B72" s="885" t="s">
        <v>726</v>
      </c>
      <c r="C72" s="787" t="s">
        <v>725</v>
      </c>
      <c r="D72" s="885" t="s">
        <v>225</v>
      </c>
      <c r="E72" s="885" t="s">
        <v>225</v>
      </c>
      <c r="F72" s="885" t="s">
        <v>225</v>
      </c>
      <c r="G72" s="885" t="s">
        <v>225</v>
      </c>
      <c r="H72" s="398"/>
      <c r="I72" s="434"/>
      <c r="J72" s="396" t="s">
        <v>941</v>
      </c>
      <c r="K72" s="791" t="s">
        <v>939</v>
      </c>
      <c r="L72" s="434" t="s">
        <v>727</v>
      </c>
      <c r="M72" s="397" t="s">
        <v>1016</v>
      </c>
      <c r="N72" s="722" t="s">
        <v>980</v>
      </c>
      <c r="O72" s="722">
        <v>1013999.14</v>
      </c>
      <c r="P72" s="793" t="str">
        <f>Y72</f>
        <v>EM ANDAMENTO</v>
      </c>
      <c r="Q72" s="820" t="s">
        <v>1373</v>
      </c>
      <c r="R72" s="791" t="s">
        <v>1372</v>
      </c>
      <c r="S72" s="722" t="s">
        <v>977</v>
      </c>
      <c r="T72" s="397" t="s">
        <v>995</v>
      </c>
      <c r="U72" s="886">
        <f>35903.16+59767.85+30479.14+26666.82+78646.29+10317.31+18084.85+49718.93+43141.52+56429.23+11831.8+28881.33+53092.24+35921.51+12379.7+49136.17+20771.78+8462.64+17813.91+47314.72+12271.47+8105.2+31245.86+64905.18</f>
        <v>811288.61</v>
      </c>
      <c r="V72" s="797">
        <v>0</v>
      </c>
      <c r="W72" s="886">
        <f>53092.24+35921.51+11831.8+56429.23+49718.93+25281.07+20771.78+15000+8105.2+12271.47+17860.45+12379.7+15000+34136.17+8462.64+17813.91</f>
        <v>394076.1</v>
      </c>
      <c r="X72" s="797">
        <f>35903.16+18084.85+59767.85+30479.14+26666.82+33000+45646.29+10317.31+W72</f>
        <v>653941.52</v>
      </c>
      <c r="Y72" s="1032" t="s">
        <v>641</v>
      </c>
      <c r="Z72" s="1025">
        <f t="shared" ref="Z72:Z75" si="10">O72-X72</f>
        <v>360057.62</v>
      </c>
      <c r="AA72" s="1028">
        <f t="shared" ref="AA72:AA75" si="11">U72-X72</f>
        <v>157347.08999999997</v>
      </c>
    </row>
    <row r="73" spans="1:28" s="124" customFormat="1" ht="20.399999999999999" x14ac:dyDescent="0.25">
      <c r="A73" s="877"/>
      <c r="B73" s="830" t="s">
        <v>733</v>
      </c>
      <c r="C73" s="787" t="s">
        <v>732</v>
      </c>
      <c r="D73" s="885" t="s">
        <v>225</v>
      </c>
      <c r="E73" s="885" t="s">
        <v>225</v>
      </c>
      <c r="F73" s="885" t="s">
        <v>225</v>
      </c>
      <c r="G73" s="885" t="s">
        <v>225</v>
      </c>
      <c r="H73" s="398"/>
      <c r="I73" s="434"/>
      <c r="J73" s="397" t="s">
        <v>1000</v>
      </c>
      <c r="K73" s="397" t="s">
        <v>554</v>
      </c>
      <c r="L73" s="791" t="s">
        <v>782</v>
      </c>
      <c r="M73" s="791">
        <v>42347</v>
      </c>
      <c r="N73" s="791" t="s">
        <v>1017</v>
      </c>
      <c r="O73" s="722">
        <v>1049959.68</v>
      </c>
      <c r="P73" s="793" t="str">
        <f t="shared" ref="P73:P74" si="12">Y73</f>
        <v>EM ANDAMENTO</v>
      </c>
      <c r="Q73" s="722" t="s">
        <v>977</v>
      </c>
      <c r="R73" s="722" t="s">
        <v>977</v>
      </c>
      <c r="S73" s="722" t="s">
        <v>977</v>
      </c>
      <c r="T73" s="397" t="s">
        <v>995</v>
      </c>
      <c r="U73" s="886">
        <f>30929.2+93445.04+79338.66+35522.69</f>
        <v>239235.59</v>
      </c>
      <c r="V73" s="797">
        <v>0</v>
      </c>
      <c r="W73" s="797">
        <f>30929.2+22000+38000+11000+25000+20000+23000+25445.04</f>
        <v>195374.24000000002</v>
      </c>
      <c r="X73" s="797">
        <f>W73</f>
        <v>195374.24000000002</v>
      </c>
      <c r="Y73" s="1020" t="s">
        <v>641</v>
      </c>
      <c r="Z73" s="1025">
        <f t="shared" si="10"/>
        <v>854585.44</v>
      </c>
      <c r="AA73" s="1028">
        <f t="shared" si="11"/>
        <v>43861.349999999977</v>
      </c>
    </row>
    <row r="74" spans="1:28" s="124" customFormat="1" ht="67.5" customHeight="1" x14ac:dyDescent="0.25">
      <c r="A74" s="877"/>
      <c r="B74" s="885" t="s">
        <v>739</v>
      </c>
      <c r="C74" s="787" t="s">
        <v>738</v>
      </c>
      <c r="D74" s="885" t="s">
        <v>1095</v>
      </c>
      <c r="E74" s="885" t="s">
        <v>1021</v>
      </c>
      <c r="F74" s="886">
        <v>420245.51</v>
      </c>
      <c r="G74" s="797">
        <v>0</v>
      </c>
      <c r="H74" s="398"/>
      <c r="I74" s="434"/>
      <c r="J74" s="722" t="s">
        <v>1018</v>
      </c>
      <c r="K74" s="791" t="s">
        <v>1019</v>
      </c>
      <c r="L74" s="434" t="s">
        <v>740</v>
      </c>
      <c r="M74" s="397" t="s">
        <v>1020</v>
      </c>
      <c r="N74" s="722" t="s">
        <v>976</v>
      </c>
      <c r="O74" s="722">
        <v>418517.68</v>
      </c>
      <c r="P74" s="793" t="str">
        <f t="shared" si="12"/>
        <v>EM ANDAMENTO</v>
      </c>
      <c r="Q74" s="820" t="s">
        <v>1409</v>
      </c>
      <c r="R74" s="722" t="s">
        <v>977</v>
      </c>
      <c r="S74" s="722" t="s">
        <v>977</v>
      </c>
      <c r="T74" s="397" t="s">
        <v>995</v>
      </c>
      <c r="U74" s="886">
        <f>22053.57+16003.48+21581.86+28975.4</f>
        <v>88614.31</v>
      </c>
      <c r="V74" s="797">
        <v>0</v>
      </c>
      <c r="W74" s="886">
        <f>16003.48+22053.57+21581.86</f>
        <v>59638.91</v>
      </c>
      <c r="X74" s="797">
        <f>V74+W74</f>
        <v>59638.91</v>
      </c>
      <c r="Y74" s="1020" t="s">
        <v>641</v>
      </c>
      <c r="Z74" s="1025">
        <f t="shared" si="10"/>
        <v>358878.77</v>
      </c>
      <c r="AA74" s="1028">
        <f t="shared" si="11"/>
        <v>28975.399999999994</v>
      </c>
    </row>
    <row r="75" spans="1:28" s="124" customFormat="1" ht="30.6" x14ac:dyDescent="0.25">
      <c r="A75" s="877"/>
      <c r="B75" s="885" t="s">
        <v>742</v>
      </c>
      <c r="C75" s="787" t="s">
        <v>741</v>
      </c>
      <c r="D75" s="885" t="s">
        <v>225</v>
      </c>
      <c r="E75" s="885" t="s">
        <v>225</v>
      </c>
      <c r="F75" s="885" t="s">
        <v>225</v>
      </c>
      <c r="G75" s="885" t="s">
        <v>225</v>
      </c>
      <c r="H75" s="398"/>
      <c r="I75" s="434"/>
      <c r="J75" s="722" t="s">
        <v>1013</v>
      </c>
      <c r="K75" s="791" t="s">
        <v>1014</v>
      </c>
      <c r="L75" s="434" t="s">
        <v>712</v>
      </c>
      <c r="M75" s="397" t="s">
        <v>1022</v>
      </c>
      <c r="N75" s="722" t="s">
        <v>990</v>
      </c>
      <c r="O75" s="722">
        <v>147101.94</v>
      </c>
      <c r="P75" s="817">
        <v>42467</v>
      </c>
      <c r="Q75" s="722" t="s">
        <v>990</v>
      </c>
      <c r="R75" s="722">
        <v>36670.82</v>
      </c>
      <c r="S75" s="722" t="s">
        <v>977</v>
      </c>
      <c r="T75" s="397" t="s">
        <v>995</v>
      </c>
      <c r="U75" s="886">
        <f>30628.78+79021.71+14940.48+21941.96+16237.03+15794.64</f>
        <v>178564.59999999998</v>
      </c>
      <c r="V75" s="797">
        <v>0</v>
      </c>
      <c r="W75" s="886">
        <f>16237.03+15794.64</f>
        <v>32031.67</v>
      </c>
      <c r="X75" s="886">
        <f>30628.78+79021.71+14940.48+21941.96+W75</f>
        <v>178564.59999999998</v>
      </c>
      <c r="Y75" s="1032" t="s">
        <v>1365</v>
      </c>
      <c r="Z75" s="1025">
        <f t="shared" si="10"/>
        <v>-31462.659999999974</v>
      </c>
      <c r="AA75" s="1028">
        <f t="shared" si="11"/>
        <v>0</v>
      </c>
    </row>
    <row r="76" spans="1:28" s="124" customFormat="1" ht="30.6" x14ac:dyDescent="0.25">
      <c r="A76" s="877"/>
      <c r="B76" s="885" t="s">
        <v>765</v>
      </c>
      <c r="C76" s="787" t="s">
        <v>764</v>
      </c>
      <c r="D76" s="885" t="s">
        <v>225</v>
      </c>
      <c r="E76" s="885" t="s">
        <v>225</v>
      </c>
      <c r="F76" s="885" t="s">
        <v>225</v>
      </c>
      <c r="G76" s="885" t="s">
        <v>225</v>
      </c>
      <c r="H76" s="398"/>
      <c r="I76" s="434"/>
      <c r="J76" s="397" t="s">
        <v>992</v>
      </c>
      <c r="K76" s="397" t="s">
        <v>569</v>
      </c>
      <c r="L76" s="791" t="s">
        <v>775</v>
      </c>
      <c r="M76" s="397" t="s">
        <v>1024</v>
      </c>
      <c r="N76" s="722" t="s">
        <v>990</v>
      </c>
      <c r="O76" s="722">
        <v>131363.99</v>
      </c>
      <c r="P76" s="817">
        <v>42500</v>
      </c>
      <c r="Q76" s="722" t="s">
        <v>990</v>
      </c>
      <c r="R76" s="820" t="s">
        <v>1618</v>
      </c>
      <c r="S76" s="722" t="s">
        <v>977</v>
      </c>
      <c r="T76" s="397" t="s">
        <v>995</v>
      </c>
      <c r="U76" s="886">
        <f>8482.58+12586.74+17886.69+15101.39+13745.41+77208.13+18080.42</f>
        <v>163091.35999999999</v>
      </c>
      <c r="V76" s="886">
        <v>0</v>
      </c>
      <c r="W76" s="886">
        <f>12586.74+17886.69+15101.39+13745.41+20000+25000+25000+7208.13+18080.42</f>
        <v>154608.77999999997</v>
      </c>
      <c r="X76" s="886">
        <f>8482.58+W76</f>
        <v>163091.35999999996</v>
      </c>
      <c r="Y76" s="1032" t="s">
        <v>1365</v>
      </c>
      <c r="Z76" s="1025">
        <f t="shared" ref="Z76:Z137" si="13">O76-X76</f>
        <v>-31727.369999999966</v>
      </c>
      <c r="AA76" s="1028">
        <f t="shared" ref="AA76:AA137" si="14">U76-X76</f>
        <v>0</v>
      </c>
    </row>
    <row r="77" spans="1:28" s="865" customFormat="1" ht="22.8" x14ac:dyDescent="0.4">
      <c r="A77" s="876"/>
      <c r="B77" s="828"/>
      <c r="C77" s="996" t="s">
        <v>812</v>
      </c>
      <c r="D77" s="996"/>
      <c r="E77" s="996"/>
      <c r="F77" s="996"/>
      <c r="G77" s="996"/>
      <c r="H77" s="996"/>
      <c r="I77" s="996"/>
      <c r="J77" s="996"/>
      <c r="K77" s="996"/>
      <c r="L77" s="996"/>
      <c r="M77" s="891"/>
      <c r="N77" s="891"/>
      <c r="O77" s="891"/>
      <c r="P77" s="870"/>
      <c r="Q77" s="891"/>
      <c r="R77" s="891"/>
      <c r="S77" s="891"/>
      <c r="T77" s="891"/>
      <c r="U77" s="891"/>
      <c r="V77" s="786"/>
      <c r="W77" s="786"/>
      <c r="X77" s="786"/>
      <c r="Y77" s="1017"/>
      <c r="Z77" s="1025">
        <f t="shared" si="13"/>
        <v>0</v>
      </c>
      <c r="AA77" s="1028">
        <f t="shared" si="14"/>
        <v>0</v>
      </c>
    </row>
    <row r="78" spans="1:28" s="124" customFormat="1" ht="30.6" x14ac:dyDescent="0.25">
      <c r="A78" s="877"/>
      <c r="B78" s="885" t="s">
        <v>827</v>
      </c>
      <c r="C78" s="787" t="s">
        <v>826</v>
      </c>
      <c r="D78" s="885" t="s">
        <v>225</v>
      </c>
      <c r="E78" s="885" t="s">
        <v>225</v>
      </c>
      <c r="F78" s="885" t="s">
        <v>225</v>
      </c>
      <c r="G78" s="885" t="s">
        <v>225</v>
      </c>
      <c r="H78" s="398"/>
      <c r="I78" s="434"/>
      <c r="J78" s="722" t="s">
        <v>1025</v>
      </c>
      <c r="K78" s="791" t="s">
        <v>1027</v>
      </c>
      <c r="L78" s="397" t="s">
        <v>1249</v>
      </c>
      <c r="M78" s="397" t="s">
        <v>1250</v>
      </c>
      <c r="N78" s="397" t="s">
        <v>1267</v>
      </c>
      <c r="O78" s="397" t="s">
        <v>1251</v>
      </c>
      <c r="P78" s="397" t="s">
        <v>1355</v>
      </c>
      <c r="Q78" s="397" t="s">
        <v>977</v>
      </c>
      <c r="R78" s="397" t="s">
        <v>977</v>
      </c>
      <c r="S78" s="397" t="s">
        <v>977</v>
      </c>
      <c r="T78" s="397" t="s">
        <v>995</v>
      </c>
      <c r="U78" s="886">
        <f>27123.84+47333.76+34569.6+33240+39489.12+38026.56+42414.24+35101.44+34569.6+40419.84+42547.2</f>
        <v>414835.20000000001</v>
      </c>
      <c r="V78" s="886">
        <f>38026.56</f>
        <v>38026.559999999998</v>
      </c>
      <c r="W78" s="797">
        <f>27123.84+30000+17333.76+34569.6+24000+9240+39489.12+38026.56</f>
        <v>219782.87999999998</v>
      </c>
      <c r="X78" s="797">
        <f>W78</f>
        <v>219782.87999999998</v>
      </c>
      <c r="Y78" s="1032" t="s">
        <v>1365</v>
      </c>
      <c r="Z78" s="1025">
        <f t="shared" si="13"/>
        <v>112085.28</v>
      </c>
      <c r="AA78" s="1028">
        <f t="shared" si="14"/>
        <v>195052.32000000004</v>
      </c>
    </row>
    <row r="79" spans="1:28" s="124" customFormat="1" ht="30.6" x14ac:dyDescent="0.25">
      <c r="A79" s="877"/>
      <c r="B79" s="885" t="s">
        <v>829</v>
      </c>
      <c r="C79" s="787" t="s">
        <v>625</v>
      </c>
      <c r="D79" s="885" t="s">
        <v>225</v>
      </c>
      <c r="E79" s="885" t="s">
        <v>225</v>
      </c>
      <c r="F79" s="885" t="s">
        <v>225</v>
      </c>
      <c r="G79" s="885" t="s">
        <v>225</v>
      </c>
      <c r="H79" s="398"/>
      <c r="I79" s="434"/>
      <c r="J79" s="396" t="s">
        <v>941</v>
      </c>
      <c r="K79" s="791" t="s">
        <v>939</v>
      </c>
      <c r="L79" s="434" t="s">
        <v>756</v>
      </c>
      <c r="M79" s="791">
        <v>42361</v>
      </c>
      <c r="N79" s="791" t="s">
        <v>990</v>
      </c>
      <c r="O79" s="722">
        <v>195424.35</v>
      </c>
      <c r="P79" s="397" t="s">
        <v>1405</v>
      </c>
      <c r="Q79" s="722" t="s">
        <v>990</v>
      </c>
      <c r="R79" s="797">
        <v>48757.5</v>
      </c>
      <c r="S79" s="722" t="s">
        <v>977</v>
      </c>
      <c r="T79" s="397" t="s">
        <v>995</v>
      </c>
      <c r="U79" s="886">
        <f>45165.2+38383.44+60585.98+51289.18+48757.5</f>
        <v>244181.3</v>
      </c>
      <c r="V79" s="797">
        <v>0</v>
      </c>
      <c r="W79" s="797">
        <f>40000+38383.44+60585.98+20000+20000+17000+10000+14289.73+18757.6</f>
        <v>239016.75000000003</v>
      </c>
      <c r="X79" s="797">
        <f>W79</f>
        <v>239016.75000000003</v>
      </c>
      <c r="Y79" s="1032" t="s">
        <v>1365</v>
      </c>
      <c r="Z79" s="1025">
        <f t="shared" si="13"/>
        <v>-43592.400000000023</v>
      </c>
      <c r="AA79" s="1028">
        <f t="shared" si="14"/>
        <v>5164.5499999999593</v>
      </c>
    </row>
    <row r="80" spans="1:28" s="124" customFormat="1" ht="31.95" customHeight="1" x14ac:dyDescent="0.25">
      <c r="A80" s="877"/>
      <c r="B80" s="885" t="s">
        <v>833</v>
      </c>
      <c r="C80" s="787" t="s">
        <v>832</v>
      </c>
      <c r="D80" s="885" t="s">
        <v>225</v>
      </c>
      <c r="E80" s="885" t="s">
        <v>225</v>
      </c>
      <c r="F80" s="885" t="s">
        <v>225</v>
      </c>
      <c r="G80" s="885" t="s">
        <v>225</v>
      </c>
      <c r="H80" s="398"/>
      <c r="I80" s="434"/>
      <c r="J80" s="396" t="s">
        <v>941</v>
      </c>
      <c r="K80" s="791" t="s">
        <v>939</v>
      </c>
      <c r="L80" s="434" t="s">
        <v>777</v>
      </c>
      <c r="M80" s="791">
        <v>42328</v>
      </c>
      <c r="N80" s="722" t="s">
        <v>976</v>
      </c>
      <c r="O80" s="722">
        <v>46832.160000000003</v>
      </c>
      <c r="P80" s="397" t="s">
        <v>1283</v>
      </c>
      <c r="Q80" s="397" t="s">
        <v>977</v>
      </c>
      <c r="R80" s="397" t="s">
        <v>977</v>
      </c>
      <c r="S80" s="397" t="s">
        <v>977</v>
      </c>
      <c r="T80" s="397" t="s">
        <v>995</v>
      </c>
      <c r="U80" s="886">
        <f>27209.6+19622.56</f>
        <v>46832.160000000003</v>
      </c>
      <c r="V80" s="797">
        <v>0</v>
      </c>
      <c r="W80" s="797">
        <v>0</v>
      </c>
      <c r="X80" s="797">
        <f>27209.6+10000+9622.56</f>
        <v>46832.159999999996</v>
      </c>
      <c r="Y80" s="1032" t="s">
        <v>1365</v>
      </c>
      <c r="Z80" s="1025">
        <f t="shared" si="13"/>
        <v>0</v>
      </c>
      <c r="AA80" s="1028">
        <f t="shared" si="14"/>
        <v>0</v>
      </c>
    </row>
    <row r="81" spans="1:27" s="124" customFormat="1" ht="30.6" x14ac:dyDescent="0.25">
      <c r="A81" s="877"/>
      <c r="B81" s="885" t="s">
        <v>835</v>
      </c>
      <c r="C81" s="787" t="s">
        <v>834</v>
      </c>
      <c r="D81" s="885" t="s">
        <v>225</v>
      </c>
      <c r="E81" s="885" t="s">
        <v>225</v>
      </c>
      <c r="F81" s="885" t="s">
        <v>225</v>
      </c>
      <c r="G81" s="885" t="s">
        <v>225</v>
      </c>
      <c r="H81" s="398"/>
      <c r="I81" s="434"/>
      <c r="J81" s="722" t="s">
        <v>1025</v>
      </c>
      <c r="K81" s="791" t="s">
        <v>1027</v>
      </c>
      <c r="L81" s="434" t="s">
        <v>778</v>
      </c>
      <c r="M81" s="791">
        <v>42331</v>
      </c>
      <c r="N81" s="722" t="s">
        <v>976</v>
      </c>
      <c r="O81" s="722">
        <v>24396.49</v>
      </c>
      <c r="P81" s="397" t="str">
        <f t="shared" ref="P81:P84" si="15">Y81</f>
        <v>OBRA NÃO INICIADA</v>
      </c>
      <c r="Q81" s="791" t="s">
        <v>1028</v>
      </c>
      <c r="R81" s="397" t="s">
        <v>977</v>
      </c>
      <c r="S81" s="397" t="s">
        <v>977</v>
      </c>
      <c r="T81" s="397" t="s">
        <v>1390</v>
      </c>
      <c r="U81" s="797">
        <v>0</v>
      </c>
      <c r="V81" s="797">
        <v>0</v>
      </c>
      <c r="W81" s="797">
        <v>0</v>
      </c>
      <c r="X81" s="791" t="s">
        <v>1028</v>
      </c>
      <c r="Y81" s="1020" t="s">
        <v>1028</v>
      </c>
      <c r="Z81" s="1025"/>
      <c r="AA81" s="1028"/>
    </row>
    <row r="82" spans="1:27" s="124" customFormat="1" ht="40.799999999999997" x14ac:dyDescent="0.25">
      <c r="A82" s="877"/>
      <c r="B82" s="885" t="s">
        <v>841</v>
      </c>
      <c r="C82" s="787" t="s">
        <v>840</v>
      </c>
      <c r="D82" s="885" t="s">
        <v>225</v>
      </c>
      <c r="E82" s="885" t="s">
        <v>225</v>
      </c>
      <c r="F82" s="885" t="s">
        <v>225</v>
      </c>
      <c r="G82" s="885" t="s">
        <v>225</v>
      </c>
      <c r="H82" s="398"/>
      <c r="I82" s="434"/>
      <c r="J82" s="722" t="s">
        <v>1013</v>
      </c>
      <c r="K82" s="791" t="s">
        <v>1014</v>
      </c>
      <c r="L82" s="434" t="s">
        <v>780</v>
      </c>
      <c r="M82" s="791">
        <v>42331</v>
      </c>
      <c r="N82" s="722" t="s">
        <v>976</v>
      </c>
      <c r="O82" s="722">
        <v>64846.75</v>
      </c>
      <c r="P82" s="397" t="s">
        <v>1406</v>
      </c>
      <c r="Q82" s="820" t="s">
        <v>1388</v>
      </c>
      <c r="R82" s="722">
        <v>20058.93</v>
      </c>
      <c r="S82" s="722" t="s">
        <v>977</v>
      </c>
      <c r="T82" s="397" t="s">
        <v>995</v>
      </c>
      <c r="U82" s="886">
        <f>17993.92+16296.7+7224.56+11171.52+3762.23</f>
        <v>56448.93</v>
      </c>
      <c r="V82" s="797">
        <v>0</v>
      </c>
      <c r="W82" s="797">
        <f>17993.92+16296.7+7224.56+3762.23+8000+3171.52</f>
        <v>56448.929999999993</v>
      </c>
      <c r="X82" s="797">
        <f>17993.92+16296.7+7224.56+3762.23+8000+3171.52</f>
        <v>56448.929999999993</v>
      </c>
      <c r="Y82" s="1032" t="s">
        <v>1038</v>
      </c>
      <c r="Z82" s="1025">
        <f t="shared" si="13"/>
        <v>8397.820000000007</v>
      </c>
      <c r="AA82" s="1028">
        <f t="shared" si="14"/>
        <v>0</v>
      </c>
    </row>
    <row r="83" spans="1:27" s="124" customFormat="1" ht="51" x14ac:dyDescent="0.25">
      <c r="A83" s="877"/>
      <c r="B83" s="885" t="s">
        <v>859</v>
      </c>
      <c r="C83" s="787" t="s">
        <v>844</v>
      </c>
      <c r="D83" s="885" t="s">
        <v>225</v>
      </c>
      <c r="E83" s="885" t="s">
        <v>225</v>
      </c>
      <c r="F83" s="885" t="s">
        <v>225</v>
      </c>
      <c r="G83" s="885" t="s">
        <v>225</v>
      </c>
      <c r="H83" s="398"/>
      <c r="I83" s="434"/>
      <c r="J83" s="397" t="s">
        <v>1374</v>
      </c>
      <c r="K83" s="397" t="s">
        <v>1375</v>
      </c>
      <c r="L83" s="397" t="s">
        <v>1376</v>
      </c>
      <c r="M83" s="397" t="s">
        <v>1377</v>
      </c>
      <c r="N83" s="397" t="s">
        <v>1267</v>
      </c>
      <c r="O83" s="722" t="s">
        <v>1378</v>
      </c>
      <c r="P83" s="397" t="str">
        <f t="shared" si="15"/>
        <v>OBRA NÃO INICIADA</v>
      </c>
      <c r="Q83" s="397" t="s">
        <v>1028</v>
      </c>
      <c r="R83" s="722" t="s">
        <v>977</v>
      </c>
      <c r="S83" s="722" t="s">
        <v>977</v>
      </c>
      <c r="T83" s="397" t="s">
        <v>1390</v>
      </c>
      <c r="U83" s="797">
        <v>0</v>
      </c>
      <c r="V83" s="797">
        <v>0</v>
      </c>
      <c r="W83" s="797">
        <v>0</v>
      </c>
      <c r="X83" s="791" t="s">
        <v>1028</v>
      </c>
      <c r="Y83" s="1020" t="s">
        <v>1028</v>
      </c>
      <c r="Z83" s="1025"/>
      <c r="AA83" s="1028"/>
    </row>
    <row r="84" spans="1:27" s="124" customFormat="1" ht="30.6" x14ac:dyDescent="0.25">
      <c r="A84" s="877"/>
      <c r="B84" s="885" t="s">
        <v>854</v>
      </c>
      <c r="C84" s="787" t="s">
        <v>754</v>
      </c>
      <c r="D84" s="885" t="s">
        <v>225</v>
      </c>
      <c r="E84" s="885" t="s">
        <v>225</v>
      </c>
      <c r="F84" s="885" t="s">
        <v>225</v>
      </c>
      <c r="G84" s="885" t="s">
        <v>225</v>
      </c>
      <c r="H84" s="398"/>
      <c r="I84" s="434"/>
      <c r="J84" s="397" t="s">
        <v>941</v>
      </c>
      <c r="K84" s="397" t="s">
        <v>939</v>
      </c>
      <c r="L84" s="397" t="s">
        <v>1252</v>
      </c>
      <c r="M84" s="397" t="s">
        <v>1253</v>
      </c>
      <c r="N84" s="397" t="s">
        <v>990</v>
      </c>
      <c r="O84" s="722" t="s">
        <v>1254</v>
      </c>
      <c r="P84" s="397" t="str">
        <f t="shared" si="15"/>
        <v>EM ANDAMENTO</v>
      </c>
      <c r="Q84" s="397" t="s">
        <v>990</v>
      </c>
      <c r="R84" s="397" t="s">
        <v>977</v>
      </c>
      <c r="S84" s="397" t="s">
        <v>977</v>
      </c>
      <c r="T84" s="397" t="s">
        <v>995</v>
      </c>
      <c r="U84" s="886">
        <f>28782.1+32156.12+10773.84+34591.09+64233.27+35322.7</f>
        <v>205859.12</v>
      </c>
      <c r="V84" s="797">
        <f>35322.7+14591.09+10000</f>
        <v>59913.789999999994</v>
      </c>
      <c r="W84" s="886">
        <f>15000+17156.12+28782.1+20000+10773.84+V84</f>
        <v>151625.84999999998</v>
      </c>
      <c r="X84" s="886">
        <f>W84</f>
        <v>151625.84999999998</v>
      </c>
      <c r="Y84" s="1020" t="s">
        <v>641</v>
      </c>
      <c r="Z84" s="1025">
        <f t="shared" si="13"/>
        <v>18910.580000000016</v>
      </c>
      <c r="AA84" s="1028">
        <f t="shared" si="14"/>
        <v>54233.270000000019</v>
      </c>
    </row>
    <row r="85" spans="1:27" s="124" customFormat="1" ht="35.4" customHeight="1" thickBot="1" x14ac:dyDescent="0.3">
      <c r="A85" s="877"/>
      <c r="B85" s="842" t="s">
        <v>857</v>
      </c>
      <c r="C85" s="843" t="s">
        <v>855</v>
      </c>
      <c r="D85" s="842" t="s">
        <v>225</v>
      </c>
      <c r="E85" s="842" t="s">
        <v>225</v>
      </c>
      <c r="F85" s="842" t="s">
        <v>225</v>
      </c>
      <c r="G85" s="842" t="s">
        <v>225</v>
      </c>
      <c r="H85" s="844"/>
      <c r="I85" s="845"/>
      <c r="J85" s="846" t="s">
        <v>1256</v>
      </c>
      <c r="K85" s="846" t="s">
        <v>1257</v>
      </c>
      <c r="L85" s="846" t="s">
        <v>1134</v>
      </c>
      <c r="M85" s="846" t="s">
        <v>1146</v>
      </c>
      <c r="N85" s="846" t="s">
        <v>976</v>
      </c>
      <c r="O85" s="1037">
        <v>97430.37</v>
      </c>
      <c r="P85" s="1038" t="s">
        <v>1259</v>
      </c>
      <c r="Q85" s="397" t="s">
        <v>977</v>
      </c>
      <c r="R85" s="847">
        <v>24713.22</v>
      </c>
      <c r="S85" s="397" t="s">
        <v>977</v>
      </c>
      <c r="T85" s="397" t="s">
        <v>995</v>
      </c>
      <c r="U85" s="847">
        <f>33078.47+50164.98+14186.92+24202.06</f>
        <v>121632.43000000001</v>
      </c>
      <c r="V85" s="847">
        <v>0</v>
      </c>
      <c r="W85" s="847">
        <f>33078.47+50164.98+14186.92+24202.06</f>
        <v>121632.43000000001</v>
      </c>
      <c r="X85" s="847">
        <f>W85</f>
        <v>121632.43000000001</v>
      </c>
      <c r="Y85" s="1039" t="s">
        <v>1365</v>
      </c>
      <c r="Z85" s="1025">
        <f t="shared" si="13"/>
        <v>-24202.060000000012</v>
      </c>
      <c r="AA85" s="1028">
        <f t="shared" si="14"/>
        <v>0</v>
      </c>
    </row>
    <row r="86" spans="1:27" ht="22.8" x14ac:dyDescent="0.4">
      <c r="B86" s="854"/>
      <c r="C86" s="849"/>
      <c r="D86" s="850"/>
      <c r="E86" s="850"/>
      <c r="F86" s="850"/>
      <c r="G86" s="850"/>
      <c r="H86" s="849"/>
      <c r="I86" s="849"/>
      <c r="J86" s="849"/>
      <c r="K86" s="849"/>
      <c r="L86" s="851"/>
      <c r="M86" s="851"/>
      <c r="N86" s="851"/>
      <c r="O86" s="851"/>
      <c r="P86" s="872"/>
      <c r="Q86" s="851"/>
      <c r="R86" s="851"/>
      <c r="S86" s="851"/>
      <c r="T86" s="851"/>
      <c r="U86" s="851"/>
      <c r="V86" s="852"/>
      <c r="W86" s="853"/>
      <c r="X86" s="853"/>
      <c r="Y86" s="1019"/>
      <c r="Z86" s="1025"/>
      <c r="AA86" s="1028"/>
    </row>
    <row r="87" spans="1:27" ht="22.8" x14ac:dyDescent="0.4">
      <c r="B87" s="828"/>
      <c r="C87" s="996" t="s">
        <v>1132</v>
      </c>
      <c r="D87" s="996"/>
      <c r="E87" s="996"/>
      <c r="F87" s="996"/>
      <c r="G87" s="996"/>
      <c r="H87" s="996"/>
      <c r="I87" s="996"/>
      <c r="J87" s="996"/>
      <c r="K87" s="996"/>
      <c r="L87" s="997"/>
      <c r="M87" s="892"/>
      <c r="N87" s="892"/>
      <c r="O87" s="892"/>
      <c r="P87" s="867"/>
      <c r="Q87" s="892"/>
      <c r="R87" s="892"/>
      <c r="S87" s="892"/>
      <c r="T87" s="892"/>
      <c r="U87" s="892"/>
      <c r="V87" s="786"/>
      <c r="W87" s="786"/>
      <c r="X87" s="786"/>
      <c r="Y87" s="1017"/>
      <c r="Z87" s="1025"/>
      <c r="AA87" s="1028"/>
    </row>
    <row r="88" spans="1:27" ht="22.8" x14ac:dyDescent="0.4">
      <c r="B88" s="828"/>
      <c r="C88" s="996" t="s">
        <v>364</v>
      </c>
      <c r="D88" s="996"/>
      <c r="E88" s="996"/>
      <c r="F88" s="996"/>
      <c r="G88" s="996"/>
      <c r="H88" s="996"/>
      <c r="I88" s="996"/>
      <c r="J88" s="996"/>
      <c r="K88" s="996"/>
      <c r="L88" s="997"/>
      <c r="M88" s="892"/>
      <c r="N88" s="892"/>
      <c r="O88" s="892"/>
      <c r="P88" s="867"/>
      <c r="Q88" s="892"/>
      <c r="R88" s="892"/>
      <c r="S88" s="892"/>
      <c r="T88" s="892"/>
      <c r="U88" s="892"/>
      <c r="V88" s="786"/>
      <c r="W88" s="786"/>
      <c r="X88" s="786"/>
      <c r="Y88" s="1017"/>
      <c r="Z88" s="1025"/>
      <c r="AA88" s="1028"/>
    </row>
    <row r="89" spans="1:27" ht="22.8" x14ac:dyDescent="0.4">
      <c r="B89" s="828"/>
      <c r="C89" s="891"/>
      <c r="D89" s="834"/>
      <c r="E89" s="834"/>
      <c r="F89" s="834"/>
      <c r="G89" s="834"/>
      <c r="H89" s="891"/>
      <c r="I89" s="891"/>
      <c r="J89" s="891"/>
      <c r="K89" s="891"/>
      <c r="L89" s="892"/>
      <c r="M89" s="892"/>
      <c r="N89" s="892"/>
      <c r="O89" s="892"/>
      <c r="P89" s="867"/>
      <c r="Q89" s="867"/>
      <c r="R89" s="892"/>
      <c r="S89" s="892"/>
      <c r="T89" s="892"/>
      <c r="U89" s="892"/>
      <c r="V89" s="786"/>
      <c r="W89" s="786"/>
      <c r="X89" s="786"/>
      <c r="Y89" s="1017"/>
      <c r="Z89" s="1025"/>
      <c r="AA89" s="1028"/>
    </row>
    <row r="90" spans="1:27" s="124" customFormat="1" ht="22.8" x14ac:dyDescent="0.25">
      <c r="A90" s="877" t="s">
        <v>1571</v>
      </c>
      <c r="B90" s="798" t="s">
        <v>1135</v>
      </c>
      <c r="C90" s="787" t="s">
        <v>1133</v>
      </c>
      <c r="D90" s="885" t="s">
        <v>225</v>
      </c>
      <c r="E90" s="885" t="s">
        <v>225</v>
      </c>
      <c r="F90" s="885" t="s">
        <v>225</v>
      </c>
      <c r="G90" s="885" t="s">
        <v>225</v>
      </c>
      <c r="H90" s="891"/>
      <c r="I90" s="891"/>
      <c r="J90" s="396" t="s">
        <v>1013</v>
      </c>
      <c r="K90" s="791" t="s">
        <v>1014</v>
      </c>
      <c r="L90" s="397" t="s">
        <v>1134</v>
      </c>
      <c r="M90" s="792" t="s">
        <v>1136</v>
      </c>
      <c r="N90" s="435" t="s">
        <v>982</v>
      </c>
      <c r="O90" s="396">
        <v>13458.22</v>
      </c>
      <c r="P90" s="815" t="s">
        <v>4</v>
      </c>
      <c r="Q90" s="435" t="s">
        <v>982</v>
      </c>
      <c r="R90" s="397" t="s">
        <v>977</v>
      </c>
      <c r="S90" s="397" t="s">
        <v>977</v>
      </c>
      <c r="T90" s="397" t="s">
        <v>995</v>
      </c>
      <c r="U90" s="797">
        <f>13443.34</f>
        <v>13443.34</v>
      </c>
      <c r="V90" s="797">
        <v>0</v>
      </c>
      <c r="W90" s="797">
        <f>13443.34</f>
        <v>13443.34</v>
      </c>
      <c r="X90" s="797">
        <f>13443.34</f>
        <v>13443.34</v>
      </c>
      <c r="Y90" s="1018" t="s">
        <v>1365</v>
      </c>
      <c r="Z90" s="1025">
        <f t="shared" si="13"/>
        <v>14.8799999999992</v>
      </c>
      <c r="AA90" s="1028">
        <f t="shared" si="14"/>
        <v>0</v>
      </c>
    </row>
    <row r="91" spans="1:27" s="124" customFormat="1" ht="30.6" x14ac:dyDescent="0.25">
      <c r="A91" s="877" t="s">
        <v>1572</v>
      </c>
      <c r="B91" s="798" t="s">
        <v>1138</v>
      </c>
      <c r="C91" s="787" t="s">
        <v>1137</v>
      </c>
      <c r="D91" s="885" t="s">
        <v>225</v>
      </c>
      <c r="E91" s="885" t="s">
        <v>225</v>
      </c>
      <c r="F91" s="885" t="s">
        <v>225</v>
      </c>
      <c r="G91" s="885" t="s">
        <v>225</v>
      </c>
      <c r="H91" s="891"/>
      <c r="I91" s="891"/>
      <c r="J91" s="396" t="s">
        <v>1013</v>
      </c>
      <c r="K91" s="791" t="s">
        <v>1014</v>
      </c>
      <c r="L91" s="397" t="s">
        <v>1139</v>
      </c>
      <c r="M91" s="792" t="s">
        <v>1140</v>
      </c>
      <c r="N91" s="435" t="s">
        <v>976</v>
      </c>
      <c r="O91" s="396">
        <v>47669.59</v>
      </c>
      <c r="P91" s="432" t="str">
        <f t="shared" ref="P91:P103" si="16">Y91</f>
        <v>EM ANDAMENTO</v>
      </c>
      <c r="Q91" s="396" t="s">
        <v>1621</v>
      </c>
      <c r="R91" s="789">
        <v>8663.4</v>
      </c>
      <c r="S91" s="397" t="s">
        <v>977</v>
      </c>
      <c r="T91" s="397" t="s">
        <v>995</v>
      </c>
      <c r="U91" s="797">
        <f>29695.06+8663.4</f>
        <v>38358.46</v>
      </c>
      <c r="V91" s="797">
        <v>0</v>
      </c>
      <c r="W91" s="797">
        <v>38358.46</v>
      </c>
      <c r="X91" s="797">
        <f t="shared" ref="X91" si="17">W91</f>
        <v>38358.46</v>
      </c>
      <c r="Y91" s="1020" t="s">
        <v>641</v>
      </c>
      <c r="Z91" s="1025">
        <f t="shared" si="13"/>
        <v>9311.1299999999974</v>
      </c>
      <c r="AA91" s="1028">
        <f t="shared" si="14"/>
        <v>0</v>
      </c>
    </row>
    <row r="92" spans="1:27" s="124" customFormat="1" ht="40.799999999999997" x14ac:dyDescent="0.25">
      <c r="A92" s="877" t="s">
        <v>1573</v>
      </c>
      <c r="B92" s="798" t="s">
        <v>1142</v>
      </c>
      <c r="C92" s="787" t="s">
        <v>1141</v>
      </c>
      <c r="D92" s="885" t="s">
        <v>225</v>
      </c>
      <c r="E92" s="885" t="s">
        <v>225</v>
      </c>
      <c r="F92" s="885" t="s">
        <v>225</v>
      </c>
      <c r="G92" s="885" t="s">
        <v>225</v>
      </c>
      <c r="H92" s="891"/>
      <c r="I92" s="891"/>
      <c r="J92" s="396" t="s">
        <v>1144</v>
      </c>
      <c r="K92" s="791" t="s">
        <v>1143</v>
      </c>
      <c r="L92" s="397" t="s">
        <v>1145</v>
      </c>
      <c r="M92" s="792" t="s">
        <v>1146</v>
      </c>
      <c r="N92" s="435" t="s">
        <v>982</v>
      </c>
      <c r="O92" s="396">
        <v>25867.71</v>
      </c>
      <c r="P92" s="1040">
        <v>42459</v>
      </c>
      <c r="Q92" s="435" t="s">
        <v>984</v>
      </c>
      <c r="R92" s="789">
        <v>12234.7</v>
      </c>
      <c r="S92" s="435" t="s">
        <v>977</v>
      </c>
      <c r="T92" s="793">
        <v>44905100</v>
      </c>
      <c r="U92" s="789">
        <f>10513.51+16876.54+12234.7</f>
        <v>39624.75</v>
      </c>
      <c r="V92" s="789">
        <v>0</v>
      </c>
      <c r="W92" s="789">
        <f>10513.51+16876.54+12234.7</f>
        <v>39624.75</v>
      </c>
      <c r="X92" s="789">
        <f>W92</f>
        <v>39624.75</v>
      </c>
      <c r="Y92" s="1018" t="s">
        <v>1365</v>
      </c>
      <c r="Z92" s="1025">
        <f t="shared" si="13"/>
        <v>-13757.04</v>
      </c>
      <c r="AA92" s="1028">
        <f t="shared" si="14"/>
        <v>0</v>
      </c>
    </row>
    <row r="93" spans="1:27" s="124" customFormat="1" ht="40.799999999999997" x14ac:dyDescent="0.25">
      <c r="A93" s="877" t="s">
        <v>1574</v>
      </c>
      <c r="B93" s="798" t="s">
        <v>1147</v>
      </c>
      <c r="C93" s="787" t="s">
        <v>1151</v>
      </c>
      <c r="D93" s="885" t="s">
        <v>225</v>
      </c>
      <c r="E93" s="885" t="s">
        <v>225</v>
      </c>
      <c r="F93" s="885" t="s">
        <v>225</v>
      </c>
      <c r="G93" s="885" t="s">
        <v>225</v>
      </c>
      <c r="H93" s="891"/>
      <c r="I93" s="891"/>
      <c r="J93" s="396" t="s">
        <v>992</v>
      </c>
      <c r="K93" s="791" t="s">
        <v>569</v>
      </c>
      <c r="L93" s="397" t="s">
        <v>1152</v>
      </c>
      <c r="M93" s="792" t="s">
        <v>1153</v>
      </c>
      <c r="N93" s="435" t="s">
        <v>976</v>
      </c>
      <c r="O93" s="396">
        <v>81643.28</v>
      </c>
      <c r="P93" s="432" t="str">
        <f t="shared" si="16"/>
        <v>EM ANDAMENTO</v>
      </c>
      <c r="Q93" s="396" t="s">
        <v>1616</v>
      </c>
      <c r="R93" s="789">
        <v>6020.99</v>
      </c>
      <c r="S93" s="435" t="s">
        <v>977</v>
      </c>
      <c r="T93" s="793">
        <v>44905100</v>
      </c>
      <c r="U93" s="789">
        <f>15402+12722.88+26724.49+6857.48+19819.98</f>
        <v>81526.829999999987</v>
      </c>
      <c r="V93" s="789">
        <v>0</v>
      </c>
      <c r="W93" s="789">
        <f>15402+12722.88+26724.49+6857.48+19819.98</f>
        <v>81526.829999999987</v>
      </c>
      <c r="X93" s="789">
        <f>W93</f>
        <v>81526.829999999987</v>
      </c>
      <c r="Y93" s="1020" t="s">
        <v>641</v>
      </c>
      <c r="Z93" s="1025">
        <f t="shared" si="13"/>
        <v>116.45000000001164</v>
      </c>
      <c r="AA93" s="1028">
        <f t="shared" si="14"/>
        <v>0</v>
      </c>
    </row>
    <row r="94" spans="1:27" s="124" customFormat="1" ht="30.6" x14ac:dyDescent="0.25">
      <c r="A94" s="877" t="s">
        <v>1575</v>
      </c>
      <c r="B94" s="798" t="s">
        <v>1148</v>
      </c>
      <c r="C94" s="787" t="s">
        <v>1154</v>
      </c>
      <c r="D94" s="885" t="s">
        <v>225</v>
      </c>
      <c r="E94" s="885" t="s">
        <v>225</v>
      </c>
      <c r="F94" s="885" t="s">
        <v>225</v>
      </c>
      <c r="G94" s="885" t="s">
        <v>225</v>
      </c>
      <c r="H94" s="891"/>
      <c r="I94" s="891"/>
      <c r="J94" s="396" t="s">
        <v>436</v>
      </c>
      <c r="K94" s="396" t="s">
        <v>436</v>
      </c>
      <c r="L94" s="396" t="s">
        <v>436</v>
      </c>
      <c r="M94" s="396" t="s">
        <v>436</v>
      </c>
      <c r="N94" s="794" t="s">
        <v>436</v>
      </c>
      <c r="O94" s="396" t="s">
        <v>436</v>
      </c>
      <c r="P94" s="432" t="str">
        <f t="shared" si="16"/>
        <v>LICITAÇÃO FRACASSADA</v>
      </c>
      <c r="Q94" s="794" t="s">
        <v>436</v>
      </c>
      <c r="R94" s="396" t="s">
        <v>436</v>
      </c>
      <c r="S94" s="794" t="s">
        <v>436</v>
      </c>
      <c r="T94" s="795" t="s">
        <v>436</v>
      </c>
      <c r="U94" s="396" t="s">
        <v>436</v>
      </c>
      <c r="V94" s="396" t="s">
        <v>436</v>
      </c>
      <c r="W94" s="396" t="s">
        <v>436</v>
      </c>
      <c r="X94" s="396" t="s">
        <v>436</v>
      </c>
      <c r="Y94" s="1041" t="s">
        <v>436</v>
      </c>
      <c r="Z94" s="1025"/>
      <c r="AA94" s="1028"/>
    </row>
    <row r="95" spans="1:27" s="124" customFormat="1" ht="61.2" x14ac:dyDescent="0.25">
      <c r="A95" s="877" t="s">
        <v>1576</v>
      </c>
      <c r="B95" s="798" t="s">
        <v>1149</v>
      </c>
      <c r="C95" s="787" t="s">
        <v>1155</v>
      </c>
      <c r="D95" s="885" t="s">
        <v>225</v>
      </c>
      <c r="E95" s="885" t="s">
        <v>225</v>
      </c>
      <c r="F95" s="885" t="s">
        <v>225</v>
      </c>
      <c r="G95" s="885" t="s">
        <v>225</v>
      </c>
      <c r="H95" s="891"/>
      <c r="I95" s="891"/>
      <c r="J95" s="396" t="s">
        <v>992</v>
      </c>
      <c r="K95" s="791" t="s">
        <v>569</v>
      </c>
      <c r="L95" s="397" t="s">
        <v>1156</v>
      </c>
      <c r="M95" s="792" t="s">
        <v>1157</v>
      </c>
      <c r="N95" s="435" t="s">
        <v>982</v>
      </c>
      <c r="O95" s="396">
        <v>29206</v>
      </c>
      <c r="P95" s="432" t="str">
        <f>Y95</f>
        <v>EM ANDAMENTO</v>
      </c>
      <c r="Q95" s="396" t="s">
        <v>1617</v>
      </c>
      <c r="R95" s="396" t="s">
        <v>1564</v>
      </c>
      <c r="S95" s="435" t="s">
        <v>977</v>
      </c>
      <c r="T95" s="793">
        <v>44905100</v>
      </c>
      <c r="U95" s="789">
        <f>12176.06+2917.48+913.64+8681.66+10140.04+3704.38</f>
        <v>38533.259999999995</v>
      </c>
      <c r="V95" s="789">
        <f>3704.38+10140.04</f>
        <v>13844.420000000002</v>
      </c>
      <c r="W95" s="789">
        <f>12176.06+913.64+2917.48+8681.66+3704.38+10140.04</f>
        <v>38533.259999999995</v>
      </c>
      <c r="X95" s="789">
        <f>W95</f>
        <v>38533.259999999995</v>
      </c>
      <c r="Y95" s="1020" t="s">
        <v>641</v>
      </c>
      <c r="Z95" s="1025">
        <f t="shared" si="13"/>
        <v>-9327.2599999999948</v>
      </c>
      <c r="AA95" s="1028">
        <f t="shared" si="14"/>
        <v>0</v>
      </c>
    </row>
    <row r="96" spans="1:27" s="124" customFormat="1" ht="30.6" x14ac:dyDescent="0.25">
      <c r="A96" s="877" t="s">
        <v>1577</v>
      </c>
      <c r="B96" s="798" t="s">
        <v>1150</v>
      </c>
      <c r="C96" s="787" t="s">
        <v>1158</v>
      </c>
      <c r="D96" s="885" t="s">
        <v>225</v>
      </c>
      <c r="E96" s="885" t="s">
        <v>225</v>
      </c>
      <c r="F96" s="885" t="s">
        <v>225</v>
      </c>
      <c r="G96" s="885" t="s">
        <v>225</v>
      </c>
      <c r="H96" s="891"/>
      <c r="I96" s="891"/>
      <c r="J96" s="396" t="s">
        <v>1018</v>
      </c>
      <c r="K96" s="791" t="s">
        <v>1159</v>
      </c>
      <c r="L96" s="397" t="s">
        <v>1160</v>
      </c>
      <c r="M96" s="792" t="s">
        <v>1157</v>
      </c>
      <c r="N96" s="435" t="s">
        <v>976</v>
      </c>
      <c r="O96" s="396">
        <v>94265.45</v>
      </c>
      <c r="P96" s="432" t="str">
        <f t="shared" si="16"/>
        <v>EM ANDAMENTO</v>
      </c>
      <c r="Q96" s="396" t="s">
        <v>1620</v>
      </c>
      <c r="R96" s="435" t="s">
        <v>977</v>
      </c>
      <c r="S96" s="435" t="s">
        <v>977</v>
      </c>
      <c r="T96" s="793">
        <v>44905100</v>
      </c>
      <c r="U96" s="789">
        <f>24450.39+34443.68+29910.87</f>
        <v>88804.94</v>
      </c>
      <c r="V96" s="789">
        <f>29910.87</f>
        <v>29910.87</v>
      </c>
      <c r="W96" s="789">
        <f>10000+10000+10000+29910.87</f>
        <v>59910.869999999995</v>
      </c>
      <c r="X96" s="789">
        <f>W96</f>
        <v>59910.869999999995</v>
      </c>
      <c r="Y96" s="1020" t="s">
        <v>641</v>
      </c>
      <c r="Z96" s="1025">
        <f t="shared" si="13"/>
        <v>34354.58</v>
      </c>
      <c r="AA96" s="1028">
        <f t="shared" si="14"/>
        <v>28894.070000000007</v>
      </c>
    </row>
    <row r="97" spans="1:27" s="124" customFormat="1" ht="30.6" x14ac:dyDescent="0.25">
      <c r="A97" s="877" t="s">
        <v>1578</v>
      </c>
      <c r="B97" s="798" t="s">
        <v>1161</v>
      </c>
      <c r="C97" s="787" t="s">
        <v>1162</v>
      </c>
      <c r="D97" s="885" t="s">
        <v>225</v>
      </c>
      <c r="E97" s="885" t="s">
        <v>225</v>
      </c>
      <c r="F97" s="885" t="s">
        <v>225</v>
      </c>
      <c r="G97" s="885" t="s">
        <v>225</v>
      </c>
      <c r="H97" s="891"/>
      <c r="I97" s="891"/>
      <c r="J97" s="396" t="s">
        <v>1164</v>
      </c>
      <c r="K97" s="791" t="s">
        <v>1163</v>
      </c>
      <c r="L97" s="397" t="s">
        <v>947</v>
      </c>
      <c r="M97" s="792" t="s">
        <v>1165</v>
      </c>
      <c r="N97" s="435" t="s">
        <v>984</v>
      </c>
      <c r="O97" s="396">
        <v>12244.73</v>
      </c>
      <c r="P97" s="1040">
        <v>42439</v>
      </c>
      <c r="Q97" s="435" t="s">
        <v>984</v>
      </c>
      <c r="R97" s="435" t="s">
        <v>977</v>
      </c>
      <c r="S97" s="435" t="s">
        <v>977</v>
      </c>
      <c r="T97" s="793">
        <v>44905100</v>
      </c>
      <c r="U97" s="789">
        <v>8743.01</v>
      </c>
      <c r="V97" s="789">
        <v>0</v>
      </c>
      <c r="W97" s="789">
        <v>8743.01</v>
      </c>
      <c r="X97" s="789">
        <f>W97</f>
        <v>8743.01</v>
      </c>
      <c r="Y97" s="1018" t="s">
        <v>1365</v>
      </c>
      <c r="Z97" s="1025">
        <f t="shared" si="13"/>
        <v>3501.7199999999993</v>
      </c>
      <c r="AA97" s="1028">
        <f t="shared" si="14"/>
        <v>0</v>
      </c>
    </row>
    <row r="98" spans="1:27" s="124" customFormat="1" ht="30.6" x14ac:dyDescent="0.25">
      <c r="A98" s="877" t="s">
        <v>1579</v>
      </c>
      <c r="B98" s="798" t="s">
        <v>1167</v>
      </c>
      <c r="C98" s="787" t="s">
        <v>1166</v>
      </c>
      <c r="D98" s="885" t="s">
        <v>225</v>
      </c>
      <c r="E98" s="885" t="s">
        <v>225</v>
      </c>
      <c r="F98" s="885" t="s">
        <v>225</v>
      </c>
      <c r="G98" s="885" t="s">
        <v>225</v>
      </c>
      <c r="H98" s="891"/>
      <c r="I98" s="891"/>
      <c r="J98" s="396" t="s">
        <v>941</v>
      </c>
      <c r="K98" s="791" t="s">
        <v>939</v>
      </c>
      <c r="L98" s="397" t="s">
        <v>1367</v>
      </c>
      <c r="M98" s="792" t="s">
        <v>1368</v>
      </c>
      <c r="N98" s="435" t="s">
        <v>1182</v>
      </c>
      <c r="O98" s="396">
        <v>304561.2</v>
      </c>
      <c r="P98" s="432" t="str">
        <f t="shared" si="16"/>
        <v>EM ANDAMENTO</v>
      </c>
      <c r="Q98" s="435" t="s">
        <v>1002</v>
      </c>
      <c r="R98" s="435" t="s">
        <v>977</v>
      </c>
      <c r="S98" s="435" t="s">
        <v>977</v>
      </c>
      <c r="T98" s="793">
        <v>44905100</v>
      </c>
      <c r="U98" s="789">
        <f>70697.69+16649.32+65600.78+70262.73+81560.68+76103.2</f>
        <v>380874.4</v>
      </c>
      <c r="V98" s="789">
        <f>10000+33000+30000+38350.68+46103.2</f>
        <v>157453.88</v>
      </c>
      <c r="W98" s="789">
        <f>70697.69+12000+4649.32+65600.78+70262.73+10000+33000+30000+38350.68+46103.2</f>
        <v>380664.4</v>
      </c>
      <c r="X98" s="789">
        <f>W98</f>
        <v>380664.4</v>
      </c>
      <c r="Y98" s="1020" t="s">
        <v>641</v>
      </c>
      <c r="Z98" s="1025">
        <f t="shared" si="13"/>
        <v>-76103.200000000012</v>
      </c>
      <c r="AA98" s="1028">
        <f t="shared" si="14"/>
        <v>210</v>
      </c>
    </row>
    <row r="99" spans="1:27" s="124" customFormat="1" ht="30.6" x14ac:dyDescent="0.25">
      <c r="A99" s="877" t="s">
        <v>1580</v>
      </c>
      <c r="B99" s="798" t="s">
        <v>1169</v>
      </c>
      <c r="C99" s="787" t="s">
        <v>1168</v>
      </c>
      <c r="D99" s="885" t="s">
        <v>225</v>
      </c>
      <c r="E99" s="885" t="s">
        <v>225</v>
      </c>
      <c r="F99" s="885" t="s">
        <v>225</v>
      </c>
      <c r="G99" s="885" t="s">
        <v>225</v>
      </c>
      <c r="H99" s="891"/>
      <c r="I99" s="891"/>
      <c r="J99" s="396" t="s">
        <v>793</v>
      </c>
      <c r="K99" s="396" t="s">
        <v>793</v>
      </c>
      <c r="L99" s="396" t="s">
        <v>793</v>
      </c>
      <c r="M99" s="396" t="s">
        <v>793</v>
      </c>
      <c r="N99" s="396" t="s">
        <v>793</v>
      </c>
      <c r="O99" s="396" t="s">
        <v>793</v>
      </c>
      <c r="P99" s="432" t="str">
        <f>Y99</f>
        <v>LICITAÇÃO ANULADA</v>
      </c>
      <c r="Q99" s="396" t="s">
        <v>793</v>
      </c>
      <c r="R99" s="396" t="s">
        <v>793</v>
      </c>
      <c r="S99" s="396" t="s">
        <v>793</v>
      </c>
      <c r="T99" s="396" t="s">
        <v>793</v>
      </c>
      <c r="U99" s="396" t="s">
        <v>793</v>
      </c>
      <c r="V99" s="396" t="s">
        <v>793</v>
      </c>
      <c r="W99" s="396" t="s">
        <v>793</v>
      </c>
      <c r="X99" s="396" t="s">
        <v>793</v>
      </c>
      <c r="Y99" s="1041" t="s">
        <v>793</v>
      </c>
      <c r="Z99" s="1025"/>
      <c r="AA99" s="1028"/>
    </row>
    <row r="100" spans="1:27" s="124" customFormat="1" ht="46.2" customHeight="1" x14ac:dyDescent="0.25">
      <c r="A100" s="877"/>
      <c r="B100" s="798" t="s">
        <v>1172</v>
      </c>
      <c r="C100" s="787" t="s">
        <v>1170</v>
      </c>
      <c r="D100" s="885" t="s">
        <v>225</v>
      </c>
      <c r="E100" s="885" t="s">
        <v>225</v>
      </c>
      <c r="F100" s="885" t="s">
        <v>225</v>
      </c>
      <c r="G100" s="885" t="s">
        <v>225</v>
      </c>
      <c r="H100" s="891"/>
      <c r="I100" s="891"/>
      <c r="J100" s="396" t="s">
        <v>941</v>
      </c>
      <c r="K100" s="791" t="s">
        <v>939</v>
      </c>
      <c r="L100" s="396">
        <v>2.2817460317460316E-2</v>
      </c>
      <c r="M100" s="792" t="s">
        <v>1565</v>
      </c>
      <c r="N100" s="396" t="s">
        <v>1267</v>
      </c>
      <c r="O100" s="396">
        <v>1662601.73</v>
      </c>
      <c r="P100" s="886" t="s">
        <v>4</v>
      </c>
      <c r="Q100" s="435" t="s">
        <v>977</v>
      </c>
      <c r="R100" s="396" t="s">
        <v>1627</v>
      </c>
      <c r="S100" s="435" t="s">
        <v>977</v>
      </c>
      <c r="T100" s="793">
        <v>44905100</v>
      </c>
      <c r="U100" s="789">
        <f>75260.8+50407.6+12813.3+11468+25077.1+228137.2+70829.6+75135.5+76573.5+20888.14+30196.32+20132+100827.42+21653.97+82238.87</f>
        <v>901639.32</v>
      </c>
      <c r="V100" s="789">
        <v>0</v>
      </c>
      <c r="W100" s="789">
        <f>75260.8+12813.3+50407.6+11468+22500+228137.2+28500+15000+5500+75135.5+76573.5+15062.7+7500+7000+20888.14+7329.6+3016.32</f>
        <v>662092.65999999992</v>
      </c>
      <c r="X100" s="789">
        <f>W100</f>
        <v>662092.65999999992</v>
      </c>
      <c r="Y100" s="1020" t="s">
        <v>641</v>
      </c>
      <c r="Z100" s="1025">
        <f t="shared" si="13"/>
        <v>1000509.0700000001</v>
      </c>
      <c r="AA100" s="1028">
        <f t="shared" si="14"/>
        <v>239546.66000000003</v>
      </c>
    </row>
    <row r="101" spans="1:27" s="124" customFormat="1" ht="30.6" x14ac:dyDescent="0.25">
      <c r="A101" s="877"/>
      <c r="B101" s="798" t="s">
        <v>1171</v>
      </c>
      <c r="C101" s="787" t="s">
        <v>1173</v>
      </c>
      <c r="D101" s="885" t="s">
        <v>225</v>
      </c>
      <c r="E101" s="885" t="s">
        <v>225</v>
      </c>
      <c r="F101" s="885" t="s">
        <v>225</v>
      </c>
      <c r="G101" s="885" t="s">
        <v>225</v>
      </c>
      <c r="H101" s="891"/>
      <c r="I101" s="891"/>
      <c r="J101" s="396" t="s">
        <v>941</v>
      </c>
      <c r="K101" s="791" t="s">
        <v>939</v>
      </c>
      <c r="L101" s="397" t="s">
        <v>1363</v>
      </c>
      <c r="M101" s="791">
        <v>42473</v>
      </c>
      <c r="N101" s="396" t="s">
        <v>976</v>
      </c>
      <c r="O101" s="396">
        <v>154515.70000000001</v>
      </c>
      <c r="P101" s="796" t="str">
        <f t="shared" si="16"/>
        <v>OBRA NÃO INICIADA</v>
      </c>
      <c r="Q101" s="396" t="s">
        <v>1624</v>
      </c>
      <c r="R101" s="435" t="s">
        <v>977</v>
      </c>
      <c r="S101" s="435" t="s">
        <v>977</v>
      </c>
      <c r="T101" s="793">
        <v>44905100</v>
      </c>
      <c r="U101" s="797">
        <v>0</v>
      </c>
      <c r="V101" s="797">
        <v>0</v>
      </c>
      <c r="W101" s="797">
        <v>0</v>
      </c>
      <c r="X101" s="797">
        <v>0</v>
      </c>
      <c r="Y101" s="1020" t="s">
        <v>1028</v>
      </c>
      <c r="Z101" s="1025">
        <f t="shared" si="13"/>
        <v>154515.70000000001</v>
      </c>
      <c r="AA101" s="1028">
        <f t="shared" si="14"/>
        <v>0</v>
      </c>
    </row>
    <row r="102" spans="1:27" s="124" customFormat="1" ht="30.6" x14ac:dyDescent="0.25">
      <c r="A102" s="877"/>
      <c r="B102" s="798" t="s">
        <v>1175</v>
      </c>
      <c r="C102" s="787" t="s">
        <v>1174</v>
      </c>
      <c r="D102" s="885" t="s">
        <v>225</v>
      </c>
      <c r="E102" s="885" t="s">
        <v>225</v>
      </c>
      <c r="F102" s="885" t="s">
        <v>225</v>
      </c>
      <c r="G102" s="885" t="s">
        <v>225</v>
      </c>
      <c r="H102" s="891"/>
      <c r="I102" s="891"/>
      <c r="J102" s="396" t="s">
        <v>1018</v>
      </c>
      <c r="K102" s="791" t="s">
        <v>1159</v>
      </c>
      <c r="L102" s="397" t="s">
        <v>1177</v>
      </c>
      <c r="M102" s="792" t="s">
        <v>1176</v>
      </c>
      <c r="N102" s="435" t="s">
        <v>982</v>
      </c>
      <c r="O102" s="396">
        <v>146227.07999999999</v>
      </c>
      <c r="P102" s="1040">
        <v>42467</v>
      </c>
      <c r="Q102" s="435" t="s">
        <v>977</v>
      </c>
      <c r="R102" s="435" t="s">
        <v>977</v>
      </c>
      <c r="S102" s="435" t="s">
        <v>977</v>
      </c>
      <c r="T102" s="793">
        <v>44905100</v>
      </c>
      <c r="U102" s="789">
        <f>146161.67</f>
        <v>146161.67000000001</v>
      </c>
      <c r="V102" s="789">
        <v>0</v>
      </c>
      <c r="W102" s="789">
        <f>30000+30000</f>
        <v>60000</v>
      </c>
      <c r="X102" s="789">
        <f>W102</f>
        <v>60000</v>
      </c>
      <c r="Y102" s="1018" t="s">
        <v>1365</v>
      </c>
      <c r="Z102" s="1025">
        <f t="shared" si="13"/>
        <v>86227.079999999987</v>
      </c>
      <c r="AA102" s="1028">
        <f t="shared" si="14"/>
        <v>86161.670000000013</v>
      </c>
    </row>
    <row r="103" spans="1:27" s="124" customFormat="1" ht="34.200000000000003" customHeight="1" x14ac:dyDescent="0.25">
      <c r="A103" s="877"/>
      <c r="B103" s="798" t="s">
        <v>1179</v>
      </c>
      <c r="C103" s="787" t="s">
        <v>1178</v>
      </c>
      <c r="D103" s="885" t="s">
        <v>225</v>
      </c>
      <c r="E103" s="885" t="s">
        <v>225</v>
      </c>
      <c r="F103" s="885" t="s">
        <v>225</v>
      </c>
      <c r="G103" s="885" t="s">
        <v>225</v>
      </c>
      <c r="H103" s="891"/>
      <c r="I103" s="891"/>
      <c r="J103" s="396" t="s">
        <v>1018</v>
      </c>
      <c r="K103" s="791" t="s">
        <v>1159</v>
      </c>
      <c r="L103" s="397" t="s">
        <v>1180</v>
      </c>
      <c r="M103" s="792" t="s">
        <v>1181</v>
      </c>
      <c r="N103" s="435" t="s">
        <v>1182</v>
      </c>
      <c r="O103" s="396">
        <v>70888.960000000006</v>
      </c>
      <c r="P103" s="432" t="str">
        <f t="shared" si="16"/>
        <v>EM ANDAMENTO</v>
      </c>
      <c r="Q103" s="435" t="s">
        <v>977</v>
      </c>
      <c r="R103" s="435" t="s">
        <v>977</v>
      </c>
      <c r="S103" s="435" t="s">
        <v>977</v>
      </c>
      <c r="T103" s="793">
        <v>44905100</v>
      </c>
      <c r="U103" s="797">
        <f>23491.84</f>
        <v>23491.84</v>
      </c>
      <c r="V103" s="797">
        <v>0</v>
      </c>
      <c r="W103" s="797">
        <v>0</v>
      </c>
      <c r="X103" s="797">
        <v>0</v>
      </c>
      <c r="Y103" s="1020" t="s">
        <v>641</v>
      </c>
      <c r="Z103" s="1025">
        <f t="shared" si="13"/>
        <v>70888.960000000006</v>
      </c>
      <c r="AA103" s="1028">
        <f t="shared" si="14"/>
        <v>23491.84</v>
      </c>
    </row>
    <row r="104" spans="1:27" s="124" customFormat="1" ht="30.6" x14ac:dyDescent="0.25">
      <c r="A104" s="877"/>
      <c r="B104" s="798" t="s">
        <v>1184</v>
      </c>
      <c r="C104" s="787" t="s">
        <v>1183</v>
      </c>
      <c r="D104" s="885" t="s">
        <v>225</v>
      </c>
      <c r="E104" s="885" t="s">
        <v>225</v>
      </c>
      <c r="F104" s="885" t="s">
        <v>225</v>
      </c>
      <c r="G104" s="885" t="s">
        <v>225</v>
      </c>
      <c r="H104" s="891"/>
      <c r="I104" s="891"/>
      <c r="J104" s="722" t="s">
        <v>1025</v>
      </c>
      <c r="K104" s="791" t="s">
        <v>1027</v>
      </c>
      <c r="L104" s="397" t="s">
        <v>1389</v>
      </c>
      <c r="M104" s="792" t="s">
        <v>1368</v>
      </c>
      <c r="N104" s="396" t="s">
        <v>1267</v>
      </c>
      <c r="O104" s="396">
        <v>365508</v>
      </c>
      <c r="P104" s="432" t="str">
        <f>Y104</f>
        <v>EM ANDAMENTO</v>
      </c>
      <c r="Q104" s="396" t="s">
        <v>977</v>
      </c>
      <c r="R104" s="396">
        <v>46150</v>
      </c>
      <c r="S104" s="396" t="s">
        <v>977</v>
      </c>
      <c r="T104" s="793">
        <v>44905100</v>
      </c>
      <c r="U104" s="886">
        <f>28400+38340+32600+41180+68160+73840+73840+9088+27690</f>
        <v>393138</v>
      </c>
      <c r="V104" s="886">
        <f>26000+16160+18000+25000</f>
        <v>85160</v>
      </c>
      <c r="W104" s="886">
        <f>18100+19000+19340+10300+18000+14600+18750+V104</f>
        <v>203250</v>
      </c>
      <c r="X104" s="886">
        <f>W104</f>
        <v>203250</v>
      </c>
      <c r="Y104" s="1020" t="s">
        <v>641</v>
      </c>
      <c r="Z104" s="1025">
        <f t="shared" si="13"/>
        <v>162258</v>
      </c>
      <c r="AA104" s="1028">
        <f t="shared" si="14"/>
        <v>189888</v>
      </c>
    </row>
    <row r="105" spans="1:27" s="124" customFormat="1" ht="30.6" x14ac:dyDescent="0.25">
      <c r="A105" s="877"/>
      <c r="B105" s="798" t="s">
        <v>1185</v>
      </c>
      <c r="C105" s="787" t="s">
        <v>1186</v>
      </c>
      <c r="D105" s="885" t="s">
        <v>225</v>
      </c>
      <c r="E105" s="885" t="s">
        <v>225</v>
      </c>
      <c r="F105" s="885" t="s">
        <v>225</v>
      </c>
      <c r="G105" s="885" t="s">
        <v>225</v>
      </c>
      <c r="H105" s="891"/>
      <c r="I105" s="891"/>
      <c r="J105" s="396" t="s">
        <v>1144</v>
      </c>
      <c r="K105" s="791" t="s">
        <v>1143</v>
      </c>
      <c r="L105" s="397" t="s">
        <v>1187</v>
      </c>
      <c r="M105" s="792" t="s">
        <v>1188</v>
      </c>
      <c r="N105" s="435" t="s">
        <v>1023</v>
      </c>
      <c r="O105" s="396">
        <v>33478.04</v>
      </c>
      <c r="P105" s="1040">
        <v>42500</v>
      </c>
      <c r="Q105" s="435" t="s">
        <v>977</v>
      </c>
      <c r="R105" s="789">
        <v>7382.25</v>
      </c>
      <c r="S105" s="435" t="s">
        <v>977</v>
      </c>
      <c r="T105" s="793">
        <v>44905100</v>
      </c>
      <c r="U105" s="789">
        <f>31551.37+7382.25</f>
        <v>38933.619999999995</v>
      </c>
      <c r="V105" s="789">
        <f>16551.37</f>
        <v>16551.37</v>
      </c>
      <c r="W105" s="789">
        <f>5000+7382.25+10000+16551.37</f>
        <v>38933.619999999995</v>
      </c>
      <c r="X105" s="789">
        <f>W105</f>
        <v>38933.619999999995</v>
      </c>
      <c r="Y105" s="1018" t="s">
        <v>1365</v>
      </c>
      <c r="Z105" s="1025">
        <f t="shared" si="13"/>
        <v>-5455.5799999999945</v>
      </c>
      <c r="AA105" s="1028">
        <f t="shared" si="14"/>
        <v>0</v>
      </c>
    </row>
    <row r="106" spans="1:27" s="124" customFormat="1" ht="40.799999999999997" x14ac:dyDescent="0.25">
      <c r="A106" s="877"/>
      <c r="B106" s="798" t="s">
        <v>1190</v>
      </c>
      <c r="C106" s="787" t="s">
        <v>1189</v>
      </c>
      <c r="D106" s="885" t="s">
        <v>225</v>
      </c>
      <c r="E106" s="885" t="s">
        <v>225</v>
      </c>
      <c r="F106" s="885" t="s">
        <v>225</v>
      </c>
      <c r="G106" s="885" t="s">
        <v>225</v>
      </c>
      <c r="H106" s="891"/>
      <c r="I106" s="891"/>
      <c r="J106" s="396" t="s">
        <v>1164</v>
      </c>
      <c r="K106" s="791" t="s">
        <v>1163</v>
      </c>
      <c r="L106" s="397" t="s">
        <v>1191</v>
      </c>
      <c r="M106" s="792" t="s">
        <v>1192</v>
      </c>
      <c r="N106" s="435" t="s">
        <v>1023</v>
      </c>
      <c r="O106" s="396">
        <v>13915.32</v>
      </c>
      <c r="P106" s="1040">
        <v>42452</v>
      </c>
      <c r="Q106" s="435" t="s">
        <v>977</v>
      </c>
      <c r="R106" s="435" t="s">
        <v>977</v>
      </c>
      <c r="S106" s="435" t="s">
        <v>977</v>
      </c>
      <c r="T106" s="793">
        <v>44905100</v>
      </c>
      <c r="U106" s="789" t="s">
        <v>1193</v>
      </c>
      <c r="V106" s="789">
        <v>0</v>
      </c>
      <c r="W106" s="789">
        <f>6000+7851.1</f>
        <v>13851.1</v>
      </c>
      <c r="X106" s="789">
        <f>W106</f>
        <v>13851.1</v>
      </c>
      <c r="Y106" s="1018" t="s">
        <v>1365</v>
      </c>
      <c r="Z106" s="1025">
        <f t="shared" si="13"/>
        <v>64.219999999999345</v>
      </c>
      <c r="AA106" s="1028">
        <f t="shared" si="14"/>
        <v>0</v>
      </c>
    </row>
    <row r="107" spans="1:27" s="124" customFormat="1" ht="61.2" x14ac:dyDescent="0.25">
      <c r="A107" s="877"/>
      <c r="B107" s="798" t="s">
        <v>1194</v>
      </c>
      <c r="C107" s="787" t="s">
        <v>1195</v>
      </c>
      <c r="D107" s="885" t="s">
        <v>225</v>
      </c>
      <c r="E107" s="885" t="s">
        <v>225</v>
      </c>
      <c r="F107" s="885" t="s">
        <v>225</v>
      </c>
      <c r="G107" s="885" t="s">
        <v>225</v>
      </c>
      <c r="H107" s="891"/>
      <c r="I107" s="891"/>
      <c r="J107" s="396" t="s">
        <v>1144</v>
      </c>
      <c r="K107" s="791" t="s">
        <v>1143</v>
      </c>
      <c r="L107" s="397" t="s">
        <v>1196</v>
      </c>
      <c r="M107" s="792" t="s">
        <v>1197</v>
      </c>
      <c r="N107" s="435" t="s">
        <v>1023</v>
      </c>
      <c r="O107" s="396">
        <v>10080</v>
      </c>
      <c r="P107" s="793" t="s">
        <v>1198</v>
      </c>
      <c r="Q107" s="435" t="s">
        <v>977</v>
      </c>
      <c r="R107" s="435" t="s">
        <v>977</v>
      </c>
      <c r="S107" s="435" t="s">
        <v>977</v>
      </c>
      <c r="T107" s="793">
        <v>44905100</v>
      </c>
      <c r="U107" s="886">
        <v>10080</v>
      </c>
      <c r="V107" s="886">
        <f>0</f>
        <v>0</v>
      </c>
      <c r="W107" s="886">
        <f>10080</f>
        <v>10080</v>
      </c>
      <c r="X107" s="886">
        <v>10080</v>
      </c>
      <c r="Y107" s="1018" t="s">
        <v>1365</v>
      </c>
      <c r="Z107" s="1025">
        <f t="shared" si="13"/>
        <v>0</v>
      </c>
      <c r="AA107" s="1028">
        <f t="shared" si="14"/>
        <v>0</v>
      </c>
    </row>
    <row r="108" spans="1:27" s="124" customFormat="1" ht="52.8" x14ac:dyDescent="0.25">
      <c r="A108" s="877"/>
      <c r="B108" s="798" t="s">
        <v>1200</v>
      </c>
      <c r="C108" s="787" t="s">
        <v>1275</v>
      </c>
      <c r="D108" s="885" t="s">
        <v>225</v>
      </c>
      <c r="E108" s="885" t="s">
        <v>225</v>
      </c>
      <c r="F108" s="885" t="s">
        <v>225</v>
      </c>
      <c r="G108" s="885" t="s">
        <v>225</v>
      </c>
      <c r="H108" s="891"/>
      <c r="I108" s="891"/>
      <c r="J108" s="396" t="s">
        <v>1013</v>
      </c>
      <c r="K108" s="791" t="s">
        <v>1014</v>
      </c>
      <c r="L108" s="397" t="s">
        <v>1201</v>
      </c>
      <c r="M108" s="792" t="s">
        <v>1202</v>
      </c>
      <c r="N108" s="435" t="s">
        <v>976</v>
      </c>
      <c r="O108" s="396">
        <v>125920.63</v>
      </c>
      <c r="P108" s="817">
        <v>42533</v>
      </c>
      <c r="Q108" s="396" t="s">
        <v>1622</v>
      </c>
      <c r="R108" s="396" t="s">
        <v>1281</v>
      </c>
      <c r="S108" s="435" t="s">
        <v>977</v>
      </c>
      <c r="T108" s="793">
        <v>44905100</v>
      </c>
      <c r="U108" s="789">
        <f>21040.09+87545.55+21478.21+17254.29+9388.54</f>
        <v>156706.68000000002</v>
      </c>
      <c r="V108" s="789">
        <v>0</v>
      </c>
      <c r="W108" s="789">
        <f>21040.09+21478.21+15000+20000+20000+10000+20000+2545.55+9388.54+17254.29</f>
        <v>156706.68000000002</v>
      </c>
      <c r="X108" s="789">
        <f>W108</f>
        <v>156706.68000000002</v>
      </c>
      <c r="Y108" s="1018" t="s">
        <v>1365</v>
      </c>
      <c r="Z108" s="1025">
        <f t="shared" si="13"/>
        <v>-30786.050000000017</v>
      </c>
      <c r="AA108" s="1028">
        <f t="shared" si="14"/>
        <v>0</v>
      </c>
    </row>
    <row r="109" spans="1:27" s="124" customFormat="1" ht="30.6" x14ac:dyDescent="0.25">
      <c r="A109" s="877"/>
      <c r="B109" s="798" t="s">
        <v>1203</v>
      </c>
      <c r="C109" s="787" t="s">
        <v>1205</v>
      </c>
      <c r="D109" s="885" t="s">
        <v>225</v>
      </c>
      <c r="E109" s="885" t="s">
        <v>225</v>
      </c>
      <c r="F109" s="885" t="s">
        <v>225</v>
      </c>
      <c r="G109" s="885" t="s">
        <v>225</v>
      </c>
      <c r="H109" s="891"/>
      <c r="I109" s="891"/>
      <c r="J109" s="396" t="s">
        <v>1164</v>
      </c>
      <c r="K109" s="791" t="s">
        <v>1163</v>
      </c>
      <c r="L109" s="397" t="s">
        <v>1206</v>
      </c>
      <c r="M109" s="792" t="s">
        <v>1207</v>
      </c>
      <c r="N109" s="435" t="s">
        <v>1023</v>
      </c>
      <c r="O109" s="396">
        <v>10990.7</v>
      </c>
      <c r="P109" s="432" t="str">
        <f t="shared" ref="P109:P115" si="18">Y109</f>
        <v>EM ANDAMENTO</v>
      </c>
      <c r="Q109" s="396" t="s">
        <v>1379</v>
      </c>
      <c r="R109" s="397" t="s">
        <v>1568</v>
      </c>
      <c r="S109" s="397" t="s">
        <v>977</v>
      </c>
      <c r="T109" s="793">
        <v>44905100</v>
      </c>
      <c r="U109" s="886">
        <f>10548.6+3967.73</f>
        <v>14516.33</v>
      </c>
      <c r="V109" s="886">
        <v>0</v>
      </c>
      <c r="W109" s="886">
        <f>10548.6+3967.73</f>
        <v>14516.33</v>
      </c>
      <c r="X109" s="886">
        <f>10548.6+3967.73</f>
        <v>14516.33</v>
      </c>
      <c r="Y109" s="1020" t="s">
        <v>641</v>
      </c>
      <c r="Z109" s="1025">
        <f t="shared" si="13"/>
        <v>-3525.6299999999992</v>
      </c>
      <c r="AA109" s="1028">
        <f t="shared" si="14"/>
        <v>0</v>
      </c>
    </row>
    <row r="110" spans="1:27" s="124" customFormat="1" ht="30.6" x14ac:dyDescent="0.25">
      <c r="A110" s="877"/>
      <c r="B110" s="798" t="s">
        <v>1204</v>
      </c>
      <c r="C110" s="787" t="s">
        <v>1208</v>
      </c>
      <c r="D110" s="885" t="s">
        <v>225</v>
      </c>
      <c r="E110" s="885" t="s">
        <v>225</v>
      </c>
      <c r="F110" s="885" t="s">
        <v>225</v>
      </c>
      <c r="G110" s="885" t="s">
        <v>225</v>
      </c>
      <c r="H110" s="891"/>
      <c r="I110" s="891"/>
      <c r="J110" s="396" t="s">
        <v>1164</v>
      </c>
      <c r="K110" s="791" t="s">
        <v>1163</v>
      </c>
      <c r="L110" s="397" t="s">
        <v>1209</v>
      </c>
      <c r="M110" s="792" t="s">
        <v>1207</v>
      </c>
      <c r="N110" s="435" t="s">
        <v>1023</v>
      </c>
      <c r="O110" s="396">
        <v>8106.88</v>
      </c>
      <c r="P110" s="817">
        <v>42440</v>
      </c>
      <c r="Q110" s="435" t="s">
        <v>977</v>
      </c>
      <c r="R110" s="435" t="s">
        <v>977</v>
      </c>
      <c r="S110" s="435" t="s">
        <v>977</v>
      </c>
      <c r="T110" s="793">
        <v>44905100</v>
      </c>
      <c r="U110" s="886">
        <v>8106.88</v>
      </c>
      <c r="V110" s="886">
        <v>0</v>
      </c>
      <c r="W110" s="886">
        <f>8106.88</f>
        <v>8106.88</v>
      </c>
      <c r="X110" s="886">
        <f>8106.88</f>
        <v>8106.88</v>
      </c>
      <c r="Y110" s="1018" t="s">
        <v>1365</v>
      </c>
      <c r="Z110" s="1025">
        <f t="shared" si="13"/>
        <v>0</v>
      </c>
      <c r="AA110" s="1028">
        <f t="shared" si="14"/>
        <v>0</v>
      </c>
    </row>
    <row r="111" spans="1:27" s="124" customFormat="1" ht="30.6" x14ac:dyDescent="0.25">
      <c r="A111" s="877"/>
      <c r="B111" s="798" t="s">
        <v>1148</v>
      </c>
      <c r="C111" s="787" t="s">
        <v>1210</v>
      </c>
      <c r="D111" s="885" t="s">
        <v>225</v>
      </c>
      <c r="E111" s="885" t="s">
        <v>225</v>
      </c>
      <c r="F111" s="885" t="s">
        <v>225</v>
      </c>
      <c r="G111" s="885" t="s">
        <v>225</v>
      </c>
      <c r="H111" s="891"/>
      <c r="I111" s="891"/>
      <c r="J111" s="396" t="s">
        <v>436</v>
      </c>
      <c r="K111" s="396" t="s">
        <v>436</v>
      </c>
      <c r="L111" s="396" t="s">
        <v>436</v>
      </c>
      <c r="M111" s="396" t="s">
        <v>436</v>
      </c>
      <c r="N111" s="396" t="s">
        <v>436</v>
      </c>
      <c r="O111" s="396" t="s">
        <v>436</v>
      </c>
      <c r="P111" s="432" t="str">
        <f t="shared" si="18"/>
        <v>LICITAÇÃO FRACASSADA</v>
      </c>
      <c r="Q111" s="396" t="s">
        <v>436</v>
      </c>
      <c r="R111" s="396" t="s">
        <v>436</v>
      </c>
      <c r="S111" s="396" t="s">
        <v>436</v>
      </c>
      <c r="T111" s="793">
        <v>44905100</v>
      </c>
      <c r="U111" s="886" t="s">
        <v>436</v>
      </c>
      <c r="V111" s="886" t="s">
        <v>436</v>
      </c>
      <c r="W111" s="886" t="s">
        <v>436</v>
      </c>
      <c r="X111" s="886" t="s">
        <v>436</v>
      </c>
      <c r="Y111" s="1041" t="s">
        <v>436</v>
      </c>
      <c r="Z111" s="1025"/>
      <c r="AA111" s="1028"/>
    </row>
    <row r="112" spans="1:27" s="124" customFormat="1" ht="30.6" x14ac:dyDescent="0.25">
      <c r="A112" s="877"/>
      <c r="B112" s="798" t="s">
        <v>1212</v>
      </c>
      <c r="C112" s="787" t="s">
        <v>1211</v>
      </c>
      <c r="D112" s="885" t="s">
        <v>225</v>
      </c>
      <c r="E112" s="885" t="s">
        <v>225</v>
      </c>
      <c r="F112" s="885" t="s">
        <v>225</v>
      </c>
      <c r="G112" s="885" t="s">
        <v>225</v>
      </c>
      <c r="H112" s="891"/>
      <c r="I112" s="891"/>
      <c r="J112" s="396" t="s">
        <v>1214</v>
      </c>
      <c r="K112" s="791" t="s">
        <v>1213</v>
      </c>
      <c r="L112" s="397" t="s">
        <v>1215</v>
      </c>
      <c r="M112" s="792" t="s">
        <v>1188</v>
      </c>
      <c r="N112" s="435" t="s">
        <v>1023</v>
      </c>
      <c r="O112" s="396">
        <v>14317.86</v>
      </c>
      <c r="P112" s="1040">
        <v>42466</v>
      </c>
      <c r="Q112" s="435" t="s">
        <v>977</v>
      </c>
      <c r="R112" s="435" t="s">
        <v>977</v>
      </c>
      <c r="S112" s="435" t="s">
        <v>977</v>
      </c>
      <c r="T112" s="793">
        <v>44905100</v>
      </c>
      <c r="U112" s="789">
        <f>8000+6317.86</f>
        <v>14317.86</v>
      </c>
      <c r="V112" s="789">
        <v>0</v>
      </c>
      <c r="W112" s="789">
        <f>8000+6317.86</f>
        <v>14317.86</v>
      </c>
      <c r="X112" s="789">
        <f>W112</f>
        <v>14317.86</v>
      </c>
      <c r="Y112" s="1018" t="s">
        <v>1365</v>
      </c>
      <c r="Z112" s="1025">
        <f t="shared" si="13"/>
        <v>0</v>
      </c>
      <c r="AA112" s="1028">
        <f t="shared" si="14"/>
        <v>0</v>
      </c>
    </row>
    <row r="113" spans="1:27" s="124" customFormat="1" ht="40.799999999999997" x14ac:dyDescent="0.25">
      <c r="A113" s="877"/>
      <c r="B113" s="798" t="s">
        <v>1217</v>
      </c>
      <c r="C113" s="787" t="s">
        <v>1216</v>
      </c>
      <c r="D113" s="885" t="s">
        <v>225</v>
      </c>
      <c r="E113" s="885" t="s">
        <v>225</v>
      </c>
      <c r="F113" s="885" t="s">
        <v>225</v>
      </c>
      <c r="G113" s="885" t="s">
        <v>225</v>
      </c>
      <c r="H113" s="891"/>
      <c r="I113" s="891"/>
      <c r="J113" s="396" t="s">
        <v>1214</v>
      </c>
      <c r="K113" s="791" t="s">
        <v>1213</v>
      </c>
      <c r="L113" s="397" t="s">
        <v>1279</v>
      </c>
      <c r="M113" s="792" t="s">
        <v>1280</v>
      </c>
      <c r="N113" s="396" t="s">
        <v>976</v>
      </c>
      <c r="O113" s="396">
        <v>21973.599999999999</v>
      </c>
      <c r="P113" s="1040">
        <v>42542</v>
      </c>
      <c r="Q113" s="396" t="s">
        <v>977</v>
      </c>
      <c r="R113" s="886">
        <v>10888.79</v>
      </c>
      <c r="S113" s="396" t="s">
        <v>977</v>
      </c>
      <c r="T113" s="793">
        <v>44905100</v>
      </c>
      <c r="U113" s="789">
        <f>15872.84+6098.44+10888.79</f>
        <v>32860.07</v>
      </c>
      <c r="V113" s="789">
        <v>0</v>
      </c>
      <c r="W113" s="789">
        <f>15872.84+10888.79+6098.44</f>
        <v>32860.07</v>
      </c>
      <c r="X113" s="789">
        <f>W113+V113</f>
        <v>32860.07</v>
      </c>
      <c r="Y113" s="1018" t="s">
        <v>1365</v>
      </c>
      <c r="Z113" s="1025">
        <f t="shared" si="13"/>
        <v>-10886.470000000001</v>
      </c>
      <c r="AA113" s="1028">
        <f t="shared" si="14"/>
        <v>0</v>
      </c>
    </row>
    <row r="114" spans="1:27" s="124" customFormat="1" ht="30.6" x14ac:dyDescent="0.25">
      <c r="A114" s="877"/>
      <c r="B114" s="798" t="s">
        <v>1148</v>
      </c>
      <c r="C114" s="787" t="s">
        <v>1210</v>
      </c>
      <c r="D114" s="885" t="s">
        <v>225</v>
      </c>
      <c r="E114" s="885" t="s">
        <v>225</v>
      </c>
      <c r="F114" s="885" t="s">
        <v>225</v>
      </c>
      <c r="G114" s="885" t="s">
        <v>225</v>
      </c>
      <c r="H114" s="891"/>
      <c r="I114" s="891"/>
      <c r="J114" s="396" t="s">
        <v>1013</v>
      </c>
      <c r="K114" s="791" t="s">
        <v>1014</v>
      </c>
      <c r="L114" s="871" t="s">
        <v>1380</v>
      </c>
      <c r="M114" s="791">
        <v>42486</v>
      </c>
      <c r="N114" s="396" t="s">
        <v>982</v>
      </c>
      <c r="O114" s="396">
        <v>98763.46</v>
      </c>
      <c r="P114" s="432" t="str">
        <f>Y114</f>
        <v>EM ANDAMENTO</v>
      </c>
      <c r="Q114" s="396" t="s">
        <v>1617</v>
      </c>
      <c r="R114" s="396" t="s">
        <v>977</v>
      </c>
      <c r="S114" s="396" t="s">
        <v>977</v>
      </c>
      <c r="T114" s="793">
        <v>44905100</v>
      </c>
      <c r="U114" s="886">
        <f>21612.82+23386.09+3851.57+20703.78</f>
        <v>69554.260000000009</v>
      </c>
      <c r="V114" s="886">
        <v>0</v>
      </c>
      <c r="W114" s="886">
        <f>15000+50702.69</f>
        <v>65702.69</v>
      </c>
      <c r="X114" s="886">
        <f>W114+V114</f>
        <v>65702.69</v>
      </c>
      <c r="Y114" s="1020" t="s">
        <v>641</v>
      </c>
      <c r="Z114" s="1025">
        <f t="shared" si="13"/>
        <v>33060.770000000004</v>
      </c>
      <c r="AA114" s="1028">
        <f t="shared" si="14"/>
        <v>3851.570000000007</v>
      </c>
    </row>
    <row r="115" spans="1:27" s="124" customFormat="1" ht="30.6" x14ac:dyDescent="0.25">
      <c r="A115" s="877"/>
      <c r="B115" s="798" t="s">
        <v>1219</v>
      </c>
      <c r="C115" s="787" t="s">
        <v>1218</v>
      </c>
      <c r="D115" s="885" t="s">
        <v>225</v>
      </c>
      <c r="E115" s="885" t="s">
        <v>225</v>
      </c>
      <c r="F115" s="885" t="s">
        <v>225</v>
      </c>
      <c r="G115" s="885" t="s">
        <v>225</v>
      </c>
      <c r="H115" s="891"/>
      <c r="I115" s="891"/>
      <c r="J115" s="396" t="s">
        <v>1144</v>
      </c>
      <c r="K115" s="791" t="s">
        <v>1143</v>
      </c>
      <c r="L115" s="397" t="s">
        <v>1282</v>
      </c>
      <c r="M115" s="792" t="s">
        <v>1283</v>
      </c>
      <c r="N115" s="396" t="s">
        <v>976</v>
      </c>
      <c r="O115" s="396">
        <v>128421.7</v>
      </c>
      <c r="P115" s="432" t="str">
        <f t="shared" si="18"/>
        <v>EM ANDAMENTO</v>
      </c>
      <c r="Q115" s="396" t="s">
        <v>1616</v>
      </c>
      <c r="R115" s="396">
        <v>39131.86</v>
      </c>
      <c r="S115" s="396" t="s">
        <v>977</v>
      </c>
      <c r="T115" s="793">
        <v>44905100</v>
      </c>
      <c r="U115" s="789">
        <f>11067.59+31539.2+21049.47+39131.86+38733.29+26021.7</f>
        <v>167543.11000000002</v>
      </c>
      <c r="V115" s="789">
        <f>26021.7+21049.47</f>
        <v>47071.17</v>
      </c>
      <c r="W115" s="789">
        <f>11067.59+10000+21539.2+15000+21049.47+26021.7</f>
        <v>104677.96</v>
      </c>
      <c r="X115" s="789">
        <f>W115</f>
        <v>104677.96</v>
      </c>
      <c r="Y115" s="1020" t="s">
        <v>641</v>
      </c>
      <c r="Z115" s="1025">
        <f t="shared" si="13"/>
        <v>23743.739999999991</v>
      </c>
      <c r="AA115" s="1028">
        <f t="shared" si="14"/>
        <v>62865.150000000009</v>
      </c>
    </row>
    <row r="116" spans="1:27" ht="22.8" x14ac:dyDescent="0.4">
      <c r="B116" s="828"/>
      <c r="C116" s="996" t="s">
        <v>347</v>
      </c>
      <c r="D116" s="996"/>
      <c r="E116" s="996"/>
      <c r="F116" s="996"/>
      <c r="G116" s="996"/>
      <c r="H116" s="996"/>
      <c r="I116" s="996"/>
      <c r="J116" s="996"/>
      <c r="K116" s="996"/>
      <c r="L116" s="997"/>
      <c r="M116" s="892"/>
      <c r="N116" s="892"/>
      <c r="O116" s="892"/>
      <c r="P116" s="867"/>
      <c r="Q116" s="892"/>
      <c r="R116" s="892"/>
      <c r="S116" s="892"/>
      <c r="T116" s="892"/>
      <c r="U116" s="892"/>
      <c r="V116" s="786"/>
      <c r="W116" s="786"/>
      <c r="X116" s="786"/>
      <c r="Y116" s="1017"/>
      <c r="Z116" s="1025">
        <f t="shared" si="13"/>
        <v>0</v>
      </c>
      <c r="AA116" s="1028">
        <f t="shared" si="14"/>
        <v>0</v>
      </c>
    </row>
    <row r="117" spans="1:27" s="124" customFormat="1" ht="30.6" x14ac:dyDescent="0.25">
      <c r="A117" s="877"/>
      <c r="B117" s="798" t="s">
        <v>1284</v>
      </c>
      <c r="C117" s="787" t="s">
        <v>1307</v>
      </c>
      <c r="D117" s="885"/>
      <c r="E117" s="885"/>
      <c r="F117" s="885"/>
      <c r="G117" s="885"/>
      <c r="H117" s="891"/>
      <c r="I117" s="891"/>
      <c r="J117" s="396" t="s">
        <v>992</v>
      </c>
      <c r="K117" s="791" t="s">
        <v>569</v>
      </c>
      <c r="L117" s="397" t="s">
        <v>1308</v>
      </c>
      <c r="M117" s="792" t="s">
        <v>1280</v>
      </c>
      <c r="N117" s="396" t="s">
        <v>1182</v>
      </c>
      <c r="O117" s="396">
        <v>470408.09</v>
      </c>
      <c r="P117" s="871" t="s">
        <v>4</v>
      </c>
      <c r="Q117" s="396" t="s">
        <v>1002</v>
      </c>
      <c r="R117" s="396" t="s">
        <v>1567</v>
      </c>
      <c r="S117" s="396" t="s">
        <v>977</v>
      </c>
      <c r="T117" s="793">
        <v>44905100</v>
      </c>
      <c r="U117" s="789">
        <f>42415.8+25335.29+39030.59+16194.81+102117.82+52196+51473.34</f>
        <v>328763.65000000002</v>
      </c>
      <c r="V117" s="789">
        <f>52196</f>
        <v>52196</v>
      </c>
      <c r="W117" s="789">
        <f>25000+25335.29+10000+25000+14030.59+7415.8+16194.81+52196</f>
        <v>175172.49</v>
      </c>
      <c r="X117" s="789">
        <f>25000+25335.29+10000+25000+14030.59+7415.8+16194.81+52196</f>
        <v>175172.49</v>
      </c>
      <c r="Y117" s="1020" t="s">
        <v>641</v>
      </c>
      <c r="Z117" s="1025">
        <f t="shared" si="13"/>
        <v>295235.60000000003</v>
      </c>
      <c r="AA117" s="1028">
        <f t="shared" si="14"/>
        <v>153591.16000000003</v>
      </c>
    </row>
    <row r="118" spans="1:27" s="124" customFormat="1" ht="71.400000000000006" x14ac:dyDescent="0.25">
      <c r="A118" s="877"/>
      <c r="B118" s="798" t="s">
        <v>1285</v>
      </c>
      <c r="C118" s="787" t="s">
        <v>1309</v>
      </c>
      <c r="D118" s="885"/>
      <c r="E118" s="885"/>
      <c r="F118" s="885"/>
      <c r="G118" s="885"/>
      <c r="H118" s="891"/>
      <c r="I118" s="891"/>
      <c r="J118" s="396" t="s">
        <v>1214</v>
      </c>
      <c r="K118" s="791" t="s">
        <v>1213</v>
      </c>
      <c r="L118" s="397" t="s">
        <v>1310</v>
      </c>
      <c r="M118" s="792" t="s">
        <v>1311</v>
      </c>
      <c r="N118" s="396" t="s">
        <v>984</v>
      </c>
      <c r="O118" s="396">
        <v>14272.09</v>
      </c>
      <c r="P118" s="798" t="s">
        <v>1028</v>
      </c>
      <c r="Q118" s="396" t="s">
        <v>1615</v>
      </c>
      <c r="R118" s="397" t="s">
        <v>1028</v>
      </c>
      <c r="S118" s="397" t="s">
        <v>1028</v>
      </c>
      <c r="T118" s="793">
        <v>44905100</v>
      </c>
      <c r="U118" s="789">
        <v>0</v>
      </c>
      <c r="V118" s="789">
        <v>0</v>
      </c>
      <c r="W118" s="789">
        <v>0</v>
      </c>
      <c r="X118" s="789">
        <v>0</v>
      </c>
      <c r="Y118" s="1020" t="s">
        <v>1028</v>
      </c>
      <c r="Z118" s="1025">
        <f t="shared" si="13"/>
        <v>14272.09</v>
      </c>
      <c r="AA118" s="1028">
        <f t="shared" si="14"/>
        <v>0</v>
      </c>
    </row>
    <row r="119" spans="1:27" s="124" customFormat="1" ht="30.6" x14ac:dyDescent="0.25">
      <c r="A119" s="877"/>
      <c r="B119" s="798" t="s">
        <v>1286</v>
      </c>
      <c r="C119" s="787" t="s">
        <v>1312</v>
      </c>
      <c r="D119" s="885"/>
      <c r="E119" s="885"/>
      <c r="F119" s="885"/>
      <c r="G119" s="885"/>
      <c r="H119" s="891"/>
      <c r="I119" s="891"/>
      <c r="J119" s="396" t="s">
        <v>1164</v>
      </c>
      <c r="K119" s="791" t="s">
        <v>1163</v>
      </c>
      <c r="L119" s="397" t="s">
        <v>1313</v>
      </c>
      <c r="M119" s="792" t="s">
        <v>1311</v>
      </c>
      <c r="N119" s="396" t="s">
        <v>984</v>
      </c>
      <c r="O119" s="396">
        <v>13640.26</v>
      </c>
      <c r="P119" s="1040">
        <v>42531</v>
      </c>
      <c r="Q119" s="396" t="s">
        <v>984</v>
      </c>
      <c r="R119" s="396">
        <f>U119-O119</f>
        <v>179.18999999999869</v>
      </c>
      <c r="S119" s="396" t="s">
        <v>977</v>
      </c>
      <c r="T119" s="793">
        <v>44905100</v>
      </c>
      <c r="U119" s="789">
        <f>9565.22+4075.04+179.19</f>
        <v>13819.449999999999</v>
      </c>
      <c r="V119" s="789">
        <v>0</v>
      </c>
      <c r="W119" s="789">
        <f>9565.22+4075.04+179.19</f>
        <v>13819.449999999999</v>
      </c>
      <c r="X119" s="789">
        <f>W119</f>
        <v>13819.449999999999</v>
      </c>
      <c r="Y119" s="1041" t="s">
        <v>1365</v>
      </c>
      <c r="Z119" s="1025">
        <f t="shared" si="13"/>
        <v>-179.18999999999869</v>
      </c>
      <c r="AA119" s="1028">
        <f t="shared" si="14"/>
        <v>0</v>
      </c>
    </row>
    <row r="120" spans="1:27" s="124" customFormat="1" ht="30.6" x14ac:dyDescent="0.25">
      <c r="A120" s="877"/>
      <c r="B120" s="798" t="s">
        <v>1287</v>
      </c>
      <c r="C120" s="787" t="s">
        <v>1364</v>
      </c>
      <c r="D120" s="885"/>
      <c r="E120" s="885"/>
      <c r="F120" s="885"/>
      <c r="G120" s="885"/>
      <c r="H120" s="891"/>
      <c r="I120" s="891"/>
      <c r="J120" s="396" t="s">
        <v>1164</v>
      </c>
      <c r="K120" s="791" t="s">
        <v>1163</v>
      </c>
      <c r="L120" s="397" t="s">
        <v>1314</v>
      </c>
      <c r="M120" s="792" t="s">
        <v>1315</v>
      </c>
      <c r="N120" s="396" t="s">
        <v>984</v>
      </c>
      <c r="O120" s="396">
        <v>14317.86</v>
      </c>
      <c r="P120" s="791">
        <v>42489</v>
      </c>
      <c r="Q120" s="396" t="s">
        <v>984</v>
      </c>
      <c r="R120" s="396" t="s">
        <v>977</v>
      </c>
      <c r="S120" s="396" t="s">
        <v>977</v>
      </c>
      <c r="T120" s="793">
        <v>44905100</v>
      </c>
      <c r="U120" s="789">
        <v>12491.13</v>
      </c>
      <c r="V120" s="789">
        <v>0</v>
      </c>
      <c r="W120" s="789">
        <v>12491.13</v>
      </c>
      <c r="X120" s="789">
        <f>W120</f>
        <v>12491.13</v>
      </c>
      <c r="Y120" s="1041" t="s">
        <v>1365</v>
      </c>
      <c r="Z120" s="1025">
        <f t="shared" si="13"/>
        <v>1826.7300000000014</v>
      </c>
      <c r="AA120" s="1028">
        <f t="shared" si="14"/>
        <v>0</v>
      </c>
    </row>
    <row r="121" spans="1:27" s="124" customFormat="1" ht="30.6" x14ac:dyDescent="0.25">
      <c r="A121" s="877"/>
      <c r="B121" s="798" t="s">
        <v>1288</v>
      </c>
      <c r="C121" s="787" t="s">
        <v>1316</v>
      </c>
      <c r="D121" s="885"/>
      <c r="E121" s="885"/>
      <c r="F121" s="885"/>
      <c r="G121" s="885"/>
      <c r="H121" s="891"/>
      <c r="I121" s="891"/>
      <c r="J121" s="396" t="s">
        <v>1013</v>
      </c>
      <c r="K121" s="791" t="s">
        <v>1014</v>
      </c>
      <c r="L121" s="397" t="s">
        <v>1317</v>
      </c>
      <c r="M121" s="792" t="s">
        <v>1318</v>
      </c>
      <c r="N121" s="396" t="s">
        <v>984</v>
      </c>
      <c r="O121" s="396">
        <v>5622.07</v>
      </c>
      <c r="P121" s="791">
        <v>42499</v>
      </c>
      <c r="Q121" s="396" t="s">
        <v>984</v>
      </c>
      <c r="R121" s="396" t="s">
        <v>977</v>
      </c>
      <c r="S121" s="396" t="s">
        <v>977</v>
      </c>
      <c r="T121" s="793">
        <v>44905100</v>
      </c>
      <c r="U121" s="789">
        <v>5622.07</v>
      </c>
      <c r="V121" s="789">
        <v>0</v>
      </c>
      <c r="W121" s="789">
        <v>5622.07</v>
      </c>
      <c r="X121" s="789">
        <v>5622.07</v>
      </c>
      <c r="Y121" s="1041" t="s">
        <v>1365</v>
      </c>
      <c r="Z121" s="1025">
        <f t="shared" si="13"/>
        <v>0</v>
      </c>
      <c r="AA121" s="1028">
        <f t="shared" si="14"/>
        <v>0</v>
      </c>
    </row>
    <row r="122" spans="1:27" s="124" customFormat="1" ht="71.400000000000006" x14ac:dyDescent="0.25">
      <c r="A122" s="877"/>
      <c r="B122" s="798" t="s">
        <v>1289</v>
      </c>
      <c r="C122" s="787" t="s">
        <v>1319</v>
      </c>
      <c r="D122" s="885"/>
      <c r="E122" s="885"/>
      <c r="F122" s="885"/>
      <c r="G122" s="885"/>
      <c r="H122" s="891"/>
      <c r="I122" s="891"/>
      <c r="J122" s="396" t="s">
        <v>1214</v>
      </c>
      <c r="K122" s="791" t="s">
        <v>1213</v>
      </c>
      <c r="L122" s="397" t="s">
        <v>1320</v>
      </c>
      <c r="M122" s="792" t="s">
        <v>1318</v>
      </c>
      <c r="N122" s="396" t="s">
        <v>984</v>
      </c>
      <c r="O122" s="396">
        <v>13327.29</v>
      </c>
      <c r="P122" s="798" t="s">
        <v>1028</v>
      </c>
      <c r="Q122" s="396" t="s">
        <v>1615</v>
      </c>
      <c r="R122" s="396" t="s">
        <v>977</v>
      </c>
      <c r="S122" s="396" t="s">
        <v>977</v>
      </c>
      <c r="T122" s="793">
        <v>44905100</v>
      </c>
      <c r="U122" s="789">
        <f>10704.79</f>
        <v>10704.79</v>
      </c>
      <c r="V122" s="789">
        <v>0</v>
      </c>
      <c r="W122" s="789">
        <v>10704.79</v>
      </c>
      <c r="X122" s="789" t="s">
        <v>1581</v>
      </c>
      <c r="Y122" s="1020" t="s">
        <v>1028</v>
      </c>
      <c r="Z122" s="1025">
        <f t="shared" si="13"/>
        <v>2622.5</v>
      </c>
      <c r="AA122" s="1028">
        <f t="shared" si="14"/>
        <v>0</v>
      </c>
    </row>
    <row r="123" spans="1:27" s="124" customFormat="1" ht="31.95" customHeight="1" x14ac:dyDescent="0.25">
      <c r="A123" s="877"/>
      <c r="B123" s="798" t="s">
        <v>1290</v>
      </c>
      <c r="C123" s="787" t="s">
        <v>1321</v>
      </c>
      <c r="D123" s="885"/>
      <c r="E123" s="885"/>
      <c r="F123" s="885"/>
      <c r="G123" s="885"/>
      <c r="H123" s="891"/>
      <c r="I123" s="891"/>
      <c r="J123" s="722" t="s">
        <v>1025</v>
      </c>
      <c r="K123" s="791" t="s">
        <v>1027</v>
      </c>
      <c r="L123" s="397" t="s">
        <v>1322</v>
      </c>
      <c r="M123" s="792" t="s">
        <v>1323</v>
      </c>
      <c r="N123" s="396" t="s">
        <v>976</v>
      </c>
      <c r="O123" s="396">
        <v>86274.53</v>
      </c>
      <c r="P123" s="871" t="s">
        <v>4</v>
      </c>
      <c r="Q123" s="396" t="s">
        <v>1616</v>
      </c>
      <c r="R123" s="396">
        <v>19040.689999999999</v>
      </c>
      <c r="S123" s="396" t="s">
        <v>977</v>
      </c>
      <c r="T123" s="793">
        <v>44905100</v>
      </c>
      <c r="U123" s="789">
        <f>58578.49+19040.69</f>
        <v>77619.179999999993</v>
      </c>
      <c r="V123" s="789">
        <f>20000+22999.99</f>
        <v>42999.990000000005</v>
      </c>
      <c r="W123" s="789">
        <f>19040.69+15578.49</f>
        <v>34619.18</v>
      </c>
      <c r="X123" s="789">
        <f>V123+W123</f>
        <v>77619.170000000013</v>
      </c>
      <c r="Y123" s="1020" t="s">
        <v>641</v>
      </c>
      <c r="Z123" s="1025">
        <f t="shared" si="13"/>
        <v>8655.359999999986</v>
      </c>
      <c r="AA123" s="1028">
        <f t="shared" si="14"/>
        <v>9.9999999802093953E-3</v>
      </c>
    </row>
    <row r="124" spans="1:27" s="124" customFormat="1" ht="30.6" x14ac:dyDescent="0.25">
      <c r="A124" s="877"/>
      <c r="B124" s="798" t="s">
        <v>1291</v>
      </c>
      <c r="C124" s="787" t="s">
        <v>1324</v>
      </c>
      <c r="D124" s="885"/>
      <c r="E124" s="885"/>
      <c r="F124" s="885"/>
      <c r="G124" s="885"/>
      <c r="H124" s="891"/>
      <c r="I124" s="891"/>
      <c r="J124" s="396" t="s">
        <v>1214</v>
      </c>
      <c r="K124" s="791" t="s">
        <v>1213</v>
      </c>
      <c r="L124" s="397" t="s">
        <v>1325</v>
      </c>
      <c r="M124" s="792" t="s">
        <v>1326</v>
      </c>
      <c r="N124" s="396" t="s">
        <v>976</v>
      </c>
      <c r="O124" s="396">
        <v>39453.35</v>
      </c>
      <c r="P124" s="798" t="s">
        <v>1028</v>
      </c>
      <c r="Q124" s="396" t="s">
        <v>1616</v>
      </c>
      <c r="R124" s="396" t="s">
        <v>977</v>
      </c>
      <c r="S124" s="396" t="s">
        <v>977</v>
      </c>
      <c r="T124" s="793">
        <v>44905100</v>
      </c>
      <c r="U124" s="789">
        <v>0</v>
      </c>
      <c r="V124" s="789">
        <v>0</v>
      </c>
      <c r="W124" s="789">
        <v>0</v>
      </c>
      <c r="X124" s="789">
        <v>0</v>
      </c>
      <c r="Y124" s="1020" t="s">
        <v>1028</v>
      </c>
      <c r="Z124" s="1025">
        <f t="shared" si="13"/>
        <v>39453.35</v>
      </c>
      <c r="AA124" s="1028">
        <f t="shared" si="14"/>
        <v>0</v>
      </c>
    </row>
    <row r="125" spans="1:27" s="124" customFormat="1" ht="30.6" x14ac:dyDescent="0.25">
      <c r="A125" s="877"/>
      <c r="B125" s="798" t="s">
        <v>1292</v>
      </c>
      <c r="C125" s="787" t="s">
        <v>1327</v>
      </c>
      <c r="D125" s="885"/>
      <c r="E125" s="885"/>
      <c r="F125" s="885"/>
      <c r="G125" s="885"/>
      <c r="H125" s="891"/>
      <c r="I125" s="891"/>
      <c r="J125" s="396" t="s">
        <v>941</v>
      </c>
      <c r="K125" s="791" t="s">
        <v>939</v>
      </c>
      <c r="L125" s="397" t="s">
        <v>1328</v>
      </c>
      <c r="M125" s="792" t="s">
        <v>1329</v>
      </c>
      <c r="N125" s="396" t="s">
        <v>990</v>
      </c>
      <c r="O125" s="396">
        <v>249390.99</v>
      </c>
      <c r="P125" s="886" t="s">
        <v>4</v>
      </c>
      <c r="Q125" s="396" t="s">
        <v>990</v>
      </c>
      <c r="R125" s="396">
        <v>17736.900000000001</v>
      </c>
      <c r="S125" s="396" t="s">
        <v>977</v>
      </c>
      <c r="T125" s="793">
        <v>44905100</v>
      </c>
      <c r="U125" s="789">
        <f>20405.18+124297.65+8483.01</f>
        <v>153185.84</v>
      </c>
      <c r="V125" s="789">
        <f>35097.65+10405.18+8483.01</f>
        <v>53985.840000000004</v>
      </c>
      <c r="W125" s="789">
        <f>10000+30000+10000+10000+10000+9200+20000+35097.65+10405.18+8483.01</f>
        <v>153185.84</v>
      </c>
      <c r="X125" s="789">
        <f>W125</f>
        <v>153185.84</v>
      </c>
      <c r="Y125" s="1020" t="s">
        <v>641</v>
      </c>
      <c r="Z125" s="1025">
        <f t="shared" si="13"/>
        <v>96205.15</v>
      </c>
      <c r="AA125" s="1028">
        <f t="shared" si="14"/>
        <v>0</v>
      </c>
    </row>
    <row r="126" spans="1:27" s="124" customFormat="1" ht="30.6" x14ac:dyDescent="0.25">
      <c r="A126" s="877"/>
      <c r="B126" s="798" t="s">
        <v>1293</v>
      </c>
      <c r="C126" s="787" t="s">
        <v>1330</v>
      </c>
      <c r="D126" s="885"/>
      <c r="E126" s="885"/>
      <c r="F126" s="885"/>
      <c r="G126" s="885"/>
      <c r="H126" s="891"/>
      <c r="I126" s="891"/>
      <c r="J126" s="396" t="s">
        <v>1332</v>
      </c>
      <c r="K126" s="791" t="s">
        <v>1331</v>
      </c>
      <c r="L126" s="397" t="s">
        <v>1333</v>
      </c>
      <c r="M126" s="792" t="s">
        <v>1334</v>
      </c>
      <c r="N126" s="396" t="s">
        <v>984</v>
      </c>
      <c r="O126" s="396">
        <v>25002.02</v>
      </c>
      <c r="P126" s="871" t="s">
        <v>4</v>
      </c>
      <c r="Q126" s="396" t="s">
        <v>977</v>
      </c>
      <c r="R126" s="396" t="s">
        <v>977</v>
      </c>
      <c r="S126" s="396" t="s">
        <v>977</v>
      </c>
      <c r="T126" s="793">
        <v>44905100</v>
      </c>
      <c r="U126" s="789">
        <f>24918.2</f>
        <v>24918.2</v>
      </c>
      <c r="V126" s="789">
        <v>0</v>
      </c>
      <c r="W126" s="789">
        <v>0</v>
      </c>
      <c r="X126" s="789">
        <v>0</v>
      </c>
      <c r="Y126" s="1041" t="s">
        <v>1365</v>
      </c>
      <c r="Z126" s="1025">
        <f t="shared" si="13"/>
        <v>25002.02</v>
      </c>
      <c r="AA126" s="1028">
        <f t="shared" si="14"/>
        <v>24918.2</v>
      </c>
    </row>
    <row r="127" spans="1:27" s="124" customFormat="1" ht="30.6" x14ac:dyDescent="0.25">
      <c r="A127" s="877"/>
      <c r="B127" s="798" t="s">
        <v>1294</v>
      </c>
      <c r="C127" s="787" t="s">
        <v>1335</v>
      </c>
      <c r="D127" s="885"/>
      <c r="E127" s="885"/>
      <c r="F127" s="885"/>
      <c r="G127" s="885"/>
      <c r="H127" s="891"/>
      <c r="I127" s="891"/>
      <c r="J127" s="396" t="s">
        <v>1336</v>
      </c>
      <c r="K127" s="791" t="s">
        <v>1337</v>
      </c>
      <c r="L127" s="397" t="s">
        <v>1338</v>
      </c>
      <c r="M127" s="792" t="s">
        <v>1329</v>
      </c>
      <c r="N127" s="396" t="s">
        <v>984</v>
      </c>
      <c r="O127" s="396">
        <v>39854.14</v>
      </c>
      <c r="P127" s="871" t="s">
        <v>4</v>
      </c>
      <c r="Q127" s="396" t="s">
        <v>984</v>
      </c>
      <c r="R127" s="396">
        <f>19841.82</f>
        <v>19841.82</v>
      </c>
      <c r="S127" s="396" t="s">
        <v>977</v>
      </c>
      <c r="T127" s="793">
        <v>44905100</v>
      </c>
      <c r="U127" s="789">
        <f>23034.67+16626.76+19841.82</f>
        <v>59503.249999999993</v>
      </c>
      <c r="V127" s="789">
        <v>0</v>
      </c>
      <c r="W127" s="789">
        <f>13000+10034.67+16626.76+10000+5000+4906.51</f>
        <v>59567.939999999995</v>
      </c>
      <c r="X127" s="789">
        <f>W127</f>
        <v>59567.939999999995</v>
      </c>
      <c r="Y127" s="1041" t="s">
        <v>1365</v>
      </c>
      <c r="Z127" s="1025">
        <f t="shared" si="13"/>
        <v>-19713.799999999996</v>
      </c>
      <c r="AA127" s="1028">
        <f t="shared" si="14"/>
        <v>-64.690000000002328</v>
      </c>
    </row>
    <row r="128" spans="1:27" s="124" customFormat="1" ht="30.6" x14ac:dyDescent="0.25">
      <c r="A128" s="877"/>
      <c r="B128" s="798" t="s">
        <v>1295</v>
      </c>
      <c r="C128" s="787" t="s">
        <v>1339</v>
      </c>
      <c r="D128" s="885"/>
      <c r="E128" s="885"/>
      <c r="F128" s="885"/>
      <c r="G128" s="885"/>
      <c r="H128" s="891"/>
      <c r="I128" s="891"/>
      <c r="J128" s="396" t="s">
        <v>1013</v>
      </c>
      <c r="K128" s="791" t="s">
        <v>1014</v>
      </c>
      <c r="L128" s="397" t="s">
        <v>1340</v>
      </c>
      <c r="M128" s="792" t="s">
        <v>1341</v>
      </c>
      <c r="N128" s="396" t="s">
        <v>984</v>
      </c>
      <c r="O128" s="396">
        <v>13989.64</v>
      </c>
      <c r="P128" s="791">
        <v>42499</v>
      </c>
      <c r="Q128" s="396" t="s">
        <v>977</v>
      </c>
      <c r="R128" s="396" t="s">
        <v>977</v>
      </c>
      <c r="S128" s="396" t="s">
        <v>977</v>
      </c>
      <c r="T128" s="793">
        <v>44905100</v>
      </c>
      <c r="U128" s="789">
        <v>13989.64</v>
      </c>
      <c r="V128" s="789">
        <v>0</v>
      </c>
      <c r="W128" s="789">
        <v>13989.64</v>
      </c>
      <c r="X128" s="789">
        <v>13989.64</v>
      </c>
      <c r="Y128" s="1041" t="s">
        <v>1365</v>
      </c>
      <c r="Z128" s="1025">
        <f t="shared" si="13"/>
        <v>0</v>
      </c>
      <c r="AA128" s="1028">
        <f t="shared" si="14"/>
        <v>0</v>
      </c>
    </row>
    <row r="129" spans="1:27" s="124" customFormat="1" ht="30.6" x14ac:dyDescent="0.25">
      <c r="A129" s="877"/>
      <c r="B129" s="798" t="s">
        <v>1296</v>
      </c>
      <c r="C129" s="787" t="s">
        <v>1342</v>
      </c>
      <c r="D129" s="885"/>
      <c r="E129" s="885"/>
      <c r="F129" s="885"/>
      <c r="G129" s="885"/>
      <c r="H129" s="891"/>
      <c r="I129" s="891"/>
      <c r="J129" s="396" t="s">
        <v>1013</v>
      </c>
      <c r="K129" s="791" t="s">
        <v>1014</v>
      </c>
      <c r="L129" s="397" t="s">
        <v>1343</v>
      </c>
      <c r="M129" s="792" t="s">
        <v>1344</v>
      </c>
      <c r="N129" s="396" t="s">
        <v>982</v>
      </c>
      <c r="O129" s="396">
        <v>86078.41</v>
      </c>
      <c r="P129" s="871" t="s">
        <v>4</v>
      </c>
      <c r="Q129" s="396" t="s">
        <v>1623</v>
      </c>
      <c r="R129" s="396" t="s">
        <v>977</v>
      </c>
      <c r="S129" s="396" t="s">
        <v>977</v>
      </c>
      <c r="T129" s="793">
        <v>44905100</v>
      </c>
      <c r="U129" s="789">
        <f>15316.12+20749.07+17313.89+12122.79+14032.07</f>
        <v>79533.94</v>
      </c>
      <c r="V129" s="789">
        <v>0</v>
      </c>
      <c r="W129" s="789">
        <f>8000+20749.07+17313.89+7316.12+12122.79+10000</f>
        <v>75501.87</v>
      </c>
      <c r="X129" s="789">
        <f>W129</f>
        <v>75501.87</v>
      </c>
      <c r="Y129" s="1041" t="s">
        <v>641</v>
      </c>
      <c r="Z129" s="1025">
        <f t="shared" si="13"/>
        <v>10576.540000000008</v>
      </c>
      <c r="AA129" s="1028">
        <f t="shared" si="14"/>
        <v>4032.070000000007</v>
      </c>
    </row>
    <row r="130" spans="1:27" s="124" customFormat="1" ht="30.6" x14ac:dyDescent="0.25">
      <c r="A130" s="877"/>
      <c r="B130" s="798" t="s">
        <v>1297</v>
      </c>
      <c r="C130" s="787" t="s">
        <v>1345</v>
      </c>
      <c r="D130" s="885"/>
      <c r="E130" s="885"/>
      <c r="F130" s="885"/>
      <c r="G130" s="885"/>
      <c r="H130" s="891"/>
      <c r="I130" s="891"/>
      <c r="J130" s="396" t="s">
        <v>1214</v>
      </c>
      <c r="K130" s="791" t="s">
        <v>1213</v>
      </c>
      <c r="L130" s="871" t="s">
        <v>1381</v>
      </c>
      <c r="M130" s="791">
        <v>42549</v>
      </c>
      <c r="N130" s="396" t="s">
        <v>980</v>
      </c>
      <c r="O130" s="396">
        <v>118460.6</v>
      </c>
      <c r="P130" s="871" t="s">
        <v>1106</v>
      </c>
      <c r="Q130" s="396" t="s">
        <v>980</v>
      </c>
      <c r="R130" s="396" t="s">
        <v>977</v>
      </c>
      <c r="S130" s="396" t="s">
        <v>977</v>
      </c>
      <c r="T130" s="793">
        <v>44905100</v>
      </c>
      <c r="U130" s="789">
        <v>0</v>
      </c>
      <c r="V130" s="789">
        <v>0</v>
      </c>
      <c r="W130" s="789">
        <v>0</v>
      </c>
      <c r="X130" s="789">
        <v>0</v>
      </c>
      <c r="Y130" s="1020" t="s">
        <v>1028</v>
      </c>
      <c r="Z130" s="1025">
        <f t="shared" si="13"/>
        <v>118460.6</v>
      </c>
      <c r="AA130" s="1028">
        <f t="shared" si="14"/>
        <v>0</v>
      </c>
    </row>
    <row r="131" spans="1:27" s="124" customFormat="1" ht="71.400000000000006" x14ac:dyDescent="0.25">
      <c r="A131" s="877"/>
      <c r="B131" s="798" t="s">
        <v>1298</v>
      </c>
      <c r="C131" s="787" t="s">
        <v>1346</v>
      </c>
      <c r="D131" s="885"/>
      <c r="E131" s="885"/>
      <c r="F131" s="885"/>
      <c r="G131" s="885"/>
      <c r="H131" s="891"/>
      <c r="I131" s="891"/>
      <c r="J131" s="396" t="s">
        <v>1164</v>
      </c>
      <c r="K131" s="791" t="s">
        <v>1163</v>
      </c>
      <c r="L131" s="397" t="s">
        <v>1347</v>
      </c>
      <c r="M131" s="792" t="s">
        <v>1348</v>
      </c>
      <c r="N131" s="396" t="s">
        <v>984</v>
      </c>
      <c r="O131" s="396">
        <v>12043.55</v>
      </c>
      <c r="P131" s="871" t="s">
        <v>4</v>
      </c>
      <c r="Q131" s="396" t="s">
        <v>1615</v>
      </c>
      <c r="R131" s="396" t="s">
        <v>977</v>
      </c>
      <c r="S131" s="396" t="s">
        <v>977</v>
      </c>
      <c r="T131" s="793">
        <v>44905100</v>
      </c>
      <c r="U131" s="789">
        <v>7226.13</v>
      </c>
      <c r="V131" s="789">
        <v>0</v>
      </c>
      <c r="W131" s="789">
        <v>7226.13</v>
      </c>
      <c r="X131" s="789">
        <v>7226.13</v>
      </c>
      <c r="Y131" s="1041" t="s">
        <v>1365</v>
      </c>
      <c r="Z131" s="1025">
        <f t="shared" si="13"/>
        <v>4817.4199999999992</v>
      </c>
      <c r="AA131" s="1028">
        <f t="shared" si="14"/>
        <v>0</v>
      </c>
    </row>
    <row r="132" spans="1:27" s="124" customFormat="1" ht="30.6" x14ac:dyDescent="0.25">
      <c r="A132" s="877"/>
      <c r="B132" s="798" t="s">
        <v>1299</v>
      </c>
      <c r="C132" s="787" t="s">
        <v>1349</v>
      </c>
      <c r="D132" s="885"/>
      <c r="E132" s="885"/>
      <c r="F132" s="885"/>
      <c r="G132" s="885"/>
      <c r="H132" s="891"/>
      <c r="I132" s="891"/>
      <c r="J132" s="396" t="s">
        <v>1164</v>
      </c>
      <c r="K132" s="791" t="s">
        <v>1163</v>
      </c>
      <c r="L132" s="397" t="s">
        <v>1350</v>
      </c>
      <c r="M132" s="792" t="s">
        <v>1348</v>
      </c>
      <c r="N132" s="396" t="s">
        <v>984</v>
      </c>
      <c r="O132" s="396">
        <v>7614.24</v>
      </c>
      <c r="P132" s="791">
        <v>42538</v>
      </c>
      <c r="Q132" s="396" t="s">
        <v>984</v>
      </c>
      <c r="R132" s="886">
        <v>3697.75</v>
      </c>
      <c r="S132" s="396" t="s">
        <v>977</v>
      </c>
      <c r="T132" s="793">
        <v>44905100</v>
      </c>
      <c r="U132" s="789">
        <f>7612.54+3697.75</f>
        <v>11310.29</v>
      </c>
      <c r="V132" s="789">
        <v>0</v>
      </c>
      <c r="W132" s="789">
        <f>7612.54+3697.75</f>
        <v>11310.29</v>
      </c>
      <c r="X132" s="789">
        <f>W132</f>
        <v>11310.29</v>
      </c>
      <c r="Y132" s="1041" t="s">
        <v>1365</v>
      </c>
      <c r="Z132" s="1025">
        <f t="shared" si="13"/>
        <v>-3696.0500000000011</v>
      </c>
      <c r="AA132" s="1028">
        <f t="shared" si="14"/>
        <v>0</v>
      </c>
    </row>
    <row r="133" spans="1:27" s="124" customFormat="1" ht="71.400000000000006" x14ac:dyDescent="0.25">
      <c r="A133" s="877"/>
      <c r="B133" s="798" t="s">
        <v>1300</v>
      </c>
      <c r="C133" s="787" t="s">
        <v>1351</v>
      </c>
      <c r="D133" s="885"/>
      <c r="E133" s="885"/>
      <c r="F133" s="885"/>
      <c r="G133" s="885"/>
      <c r="H133" s="891"/>
      <c r="I133" s="891"/>
      <c r="J133" s="396" t="s">
        <v>1164</v>
      </c>
      <c r="K133" s="791" t="s">
        <v>1163</v>
      </c>
      <c r="L133" s="397" t="s">
        <v>1352</v>
      </c>
      <c r="M133" s="792" t="s">
        <v>1344</v>
      </c>
      <c r="N133" s="396" t="s">
        <v>984</v>
      </c>
      <c r="O133" s="396">
        <v>14128.09</v>
      </c>
      <c r="P133" s="893" t="s">
        <v>1028</v>
      </c>
      <c r="Q133" s="396" t="s">
        <v>1615</v>
      </c>
      <c r="R133" s="396" t="s">
        <v>977</v>
      </c>
      <c r="S133" s="396" t="s">
        <v>977</v>
      </c>
      <c r="T133" s="793">
        <v>44905100</v>
      </c>
      <c r="U133" s="789">
        <v>0</v>
      </c>
      <c r="V133" s="789">
        <v>0</v>
      </c>
      <c r="W133" s="789">
        <v>0</v>
      </c>
      <c r="X133" s="789">
        <v>0</v>
      </c>
      <c r="Y133" s="1020" t="s">
        <v>1028</v>
      </c>
      <c r="Z133" s="1025">
        <f t="shared" si="13"/>
        <v>14128.09</v>
      </c>
      <c r="AA133" s="1028">
        <f t="shared" si="14"/>
        <v>0</v>
      </c>
    </row>
    <row r="134" spans="1:27" s="124" customFormat="1" ht="40.799999999999997" x14ac:dyDescent="0.25">
      <c r="A134" s="877"/>
      <c r="B134" s="798" t="s">
        <v>1301</v>
      </c>
      <c r="C134" s="787" t="s">
        <v>1353</v>
      </c>
      <c r="D134" s="885"/>
      <c r="E134" s="885"/>
      <c r="F134" s="885"/>
      <c r="G134" s="885"/>
      <c r="H134" s="891"/>
      <c r="I134" s="891"/>
      <c r="J134" s="396" t="s">
        <v>1164</v>
      </c>
      <c r="K134" s="791" t="s">
        <v>1163</v>
      </c>
      <c r="L134" s="397" t="s">
        <v>1354</v>
      </c>
      <c r="M134" s="792" t="s">
        <v>1355</v>
      </c>
      <c r="N134" s="396" t="s">
        <v>984</v>
      </c>
      <c r="O134" s="396">
        <v>11946.12</v>
      </c>
      <c r="P134" s="791">
        <v>42536</v>
      </c>
      <c r="Q134" s="396" t="s">
        <v>977</v>
      </c>
      <c r="R134" s="396" t="s">
        <v>977</v>
      </c>
      <c r="S134" s="396" t="s">
        <v>977</v>
      </c>
      <c r="T134" s="793">
        <v>44905100</v>
      </c>
      <c r="U134" s="789">
        <v>11946.12</v>
      </c>
      <c r="V134" s="789">
        <v>0</v>
      </c>
      <c r="W134" s="789">
        <v>11946.12</v>
      </c>
      <c r="X134" s="789">
        <f>W134</f>
        <v>11946.12</v>
      </c>
      <c r="Y134" s="1041" t="s">
        <v>1365</v>
      </c>
      <c r="Z134" s="1025">
        <f t="shared" si="13"/>
        <v>0</v>
      </c>
      <c r="AA134" s="1028">
        <f t="shared" si="14"/>
        <v>0</v>
      </c>
    </row>
    <row r="135" spans="1:27" s="124" customFormat="1" ht="30.6" x14ac:dyDescent="0.25">
      <c r="A135" s="877"/>
      <c r="B135" s="798" t="s">
        <v>1302</v>
      </c>
      <c r="C135" s="787" t="s">
        <v>1356</v>
      </c>
      <c r="D135" s="885"/>
      <c r="E135" s="885"/>
      <c r="F135" s="885"/>
      <c r="G135" s="885"/>
      <c r="H135" s="891"/>
      <c r="I135" s="891"/>
      <c r="J135" s="396" t="s">
        <v>793</v>
      </c>
      <c r="K135" s="396" t="s">
        <v>793</v>
      </c>
      <c r="L135" s="396" t="s">
        <v>793</v>
      </c>
      <c r="M135" s="396" t="s">
        <v>793</v>
      </c>
      <c r="N135" s="396" t="s">
        <v>793</v>
      </c>
      <c r="O135" s="396" t="s">
        <v>793</v>
      </c>
      <c r="P135" s="871" t="s">
        <v>793</v>
      </c>
      <c r="Q135" s="396" t="s">
        <v>977</v>
      </c>
      <c r="R135" s="396" t="s">
        <v>977</v>
      </c>
      <c r="S135" s="396" t="s">
        <v>977</v>
      </c>
      <c r="T135" s="793">
        <v>44905100</v>
      </c>
      <c r="U135" s="886" t="s">
        <v>793</v>
      </c>
      <c r="V135" s="886" t="s">
        <v>793</v>
      </c>
      <c r="W135" s="886" t="s">
        <v>793</v>
      </c>
      <c r="X135" s="886" t="s">
        <v>793</v>
      </c>
      <c r="Y135" s="1041" t="s">
        <v>793</v>
      </c>
      <c r="Z135" s="1025"/>
      <c r="AA135" s="1028"/>
    </row>
    <row r="136" spans="1:27" s="124" customFormat="1" ht="30.6" x14ac:dyDescent="0.25">
      <c r="A136" s="877"/>
      <c r="B136" s="798" t="s">
        <v>1305</v>
      </c>
      <c r="C136" s="787" t="s">
        <v>1357</v>
      </c>
      <c r="D136" s="885"/>
      <c r="E136" s="885"/>
      <c r="F136" s="885"/>
      <c r="G136" s="885"/>
      <c r="H136" s="891"/>
      <c r="I136" s="891"/>
      <c r="J136" s="396" t="s">
        <v>941</v>
      </c>
      <c r="K136" s="396" t="s">
        <v>1413</v>
      </c>
      <c r="L136" s="397" t="s">
        <v>1566</v>
      </c>
      <c r="M136" s="396">
        <v>42570</v>
      </c>
      <c r="N136" s="396" t="s">
        <v>1002</v>
      </c>
      <c r="O136" s="396">
        <v>361134.04</v>
      </c>
      <c r="P136" s="871" t="s">
        <v>641</v>
      </c>
      <c r="Q136" s="396" t="s">
        <v>977</v>
      </c>
      <c r="R136" s="396" t="s">
        <v>977</v>
      </c>
      <c r="S136" s="396" t="s">
        <v>977</v>
      </c>
      <c r="T136" s="793">
        <v>44905100</v>
      </c>
      <c r="U136" s="789">
        <f>56594.78+58309.21+58415.87+16596.19</f>
        <v>189916.05</v>
      </c>
      <c r="V136" s="789">
        <f>16596.19</f>
        <v>16596.189999999999</v>
      </c>
      <c r="W136" s="789">
        <f>56594.78+50000+55000+16596.19</f>
        <v>178190.97</v>
      </c>
      <c r="X136" s="789">
        <f>W136</f>
        <v>178190.97</v>
      </c>
      <c r="Y136" s="1041" t="s">
        <v>641</v>
      </c>
      <c r="Z136" s="1025">
        <f t="shared" si="13"/>
        <v>182943.06999999998</v>
      </c>
      <c r="AA136" s="1028">
        <f t="shared" si="14"/>
        <v>11725.079999999987</v>
      </c>
    </row>
    <row r="137" spans="1:27" s="124" customFormat="1" ht="30.6" x14ac:dyDescent="0.25">
      <c r="A137" s="877"/>
      <c r="B137" s="798" t="s">
        <v>1303</v>
      </c>
      <c r="C137" s="787" t="s">
        <v>1358</v>
      </c>
      <c r="D137" s="885"/>
      <c r="E137" s="885"/>
      <c r="F137" s="885"/>
      <c r="G137" s="885"/>
      <c r="H137" s="891"/>
      <c r="I137" s="891"/>
      <c r="J137" s="396" t="s">
        <v>1332</v>
      </c>
      <c r="K137" s="791" t="s">
        <v>1331</v>
      </c>
      <c r="L137" s="397" t="s">
        <v>1359</v>
      </c>
      <c r="M137" s="792" t="s">
        <v>1360</v>
      </c>
      <c r="N137" s="396" t="s">
        <v>984</v>
      </c>
      <c r="O137" s="396">
        <v>12412.5</v>
      </c>
      <c r="P137" s="791">
        <v>42541</v>
      </c>
      <c r="Q137" s="396" t="s">
        <v>977</v>
      </c>
      <c r="R137" s="396" t="s">
        <v>977</v>
      </c>
      <c r="S137" s="396" t="s">
        <v>977</v>
      </c>
      <c r="T137" s="793">
        <v>44905100</v>
      </c>
      <c r="U137" s="789">
        <v>12412.5</v>
      </c>
      <c r="V137" s="789">
        <v>0</v>
      </c>
      <c r="W137" s="789">
        <v>12412.5</v>
      </c>
      <c r="X137" s="789">
        <v>12412.5</v>
      </c>
      <c r="Y137" s="1041" t="s">
        <v>1365</v>
      </c>
      <c r="Z137" s="1025">
        <f t="shared" si="13"/>
        <v>0</v>
      </c>
      <c r="AA137" s="1028">
        <f t="shared" si="14"/>
        <v>0</v>
      </c>
    </row>
    <row r="138" spans="1:27" s="124" customFormat="1" ht="37.5" customHeight="1" x14ac:dyDescent="0.25">
      <c r="A138" s="877"/>
      <c r="B138" s="798" t="s">
        <v>1304</v>
      </c>
      <c r="C138" s="787" t="s">
        <v>1361</v>
      </c>
      <c r="D138" s="885"/>
      <c r="E138" s="885"/>
      <c r="F138" s="885"/>
      <c r="G138" s="885"/>
      <c r="H138" s="891"/>
      <c r="I138" s="891"/>
      <c r="J138" s="396" t="s">
        <v>436</v>
      </c>
      <c r="K138" s="396" t="s">
        <v>436</v>
      </c>
      <c r="L138" s="396" t="s">
        <v>436</v>
      </c>
      <c r="M138" s="396" t="s">
        <v>436</v>
      </c>
      <c r="N138" s="396" t="s">
        <v>436</v>
      </c>
      <c r="O138" s="396" t="s">
        <v>436</v>
      </c>
      <c r="P138" s="396" t="s">
        <v>436</v>
      </c>
      <c r="Q138" s="396" t="s">
        <v>977</v>
      </c>
      <c r="R138" s="396" t="s">
        <v>977</v>
      </c>
      <c r="S138" s="396" t="s">
        <v>977</v>
      </c>
      <c r="T138" s="793">
        <v>44905100</v>
      </c>
      <c r="U138" s="886" t="s">
        <v>436</v>
      </c>
      <c r="V138" s="886" t="s">
        <v>436</v>
      </c>
      <c r="W138" s="886" t="s">
        <v>436</v>
      </c>
      <c r="X138" s="886" t="s">
        <v>436</v>
      </c>
      <c r="Y138" s="1041" t="s">
        <v>436</v>
      </c>
      <c r="Z138" s="1025"/>
      <c r="AA138" s="1028"/>
    </row>
    <row r="139" spans="1:27" s="124" customFormat="1" ht="30.6" x14ac:dyDescent="0.25">
      <c r="A139" s="877"/>
      <c r="B139" s="798" t="s">
        <v>1306</v>
      </c>
      <c r="C139" s="787" t="s">
        <v>1362</v>
      </c>
      <c r="D139" s="885"/>
      <c r="E139" s="885"/>
      <c r="F139" s="885"/>
      <c r="G139" s="885"/>
      <c r="H139" s="891"/>
      <c r="I139" s="891"/>
      <c r="J139" s="396" t="s">
        <v>671</v>
      </c>
      <c r="K139" s="396" t="s">
        <v>671</v>
      </c>
      <c r="L139" s="396" t="s">
        <v>671</v>
      </c>
      <c r="M139" s="396" t="s">
        <v>671</v>
      </c>
      <c r="N139" s="396" t="s">
        <v>671</v>
      </c>
      <c r="O139" s="396" t="s">
        <v>671</v>
      </c>
      <c r="P139" s="871" t="s">
        <v>671</v>
      </c>
      <c r="Q139" s="396" t="s">
        <v>977</v>
      </c>
      <c r="R139" s="396" t="s">
        <v>977</v>
      </c>
      <c r="S139" s="396" t="s">
        <v>977</v>
      </c>
      <c r="T139" s="793">
        <v>44905100</v>
      </c>
      <c r="U139" s="886" t="s">
        <v>671</v>
      </c>
      <c r="V139" s="886" t="s">
        <v>671</v>
      </c>
      <c r="W139" s="886" t="s">
        <v>671</v>
      </c>
      <c r="X139" s="886" t="s">
        <v>671</v>
      </c>
      <c r="Y139" s="1041" t="s">
        <v>671</v>
      </c>
      <c r="Z139" s="1025"/>
      <c r="AA139" s="1028"/>
    </row>
    <row r="140" spans="1:27" ht="22.8" x14ac:dyDescent="0.4">
      <c r="B140" s="828"/>
      <c r="C140" s="996" t="s">
        <v>1411</v>
      </c>
      <c r="D140" s="996"/>
      <c r="E140" s="996"/>
      <c r="F140" s="996"/>
      <c r="G140" s="996"/>
      <c r="H140" s="996"/>
      <c r="I140" s="996"/>
      <c r="J140" s="996"/>
      <c r="K140" s="996"/>
      <c r="L140" s="997"/>
      <c r="M140" s="892"/>
      <c r="N140" s="892"/>
      <c r="O140" s="892"/>
      <c r="P140" s="867"/>
      <c r="Q140" s="892"/>
      <c r="R140" s="892"/>
      <c r="S140" s="892"/>
      <c r="T140" s="892"/>
      <c r="U140" s="892"/>
      <c r="V140" s="786"/>
      <c r="W140" s="786"/>
      <c r="X140" s="786"/>
      <c r="Y140" s="1017"/>
      <c r="Z140" s="1025">
        <f t="shared" ref="Z140:Z177" si="19">O140-X140</f>
        <v>0</v>
      </c>
      <c r="AA140" s="1028">
        <f t="shared" ref="AA140:AA177" si="20">U140-X140</f>
        <v>0</v>
      </c>
    </row>
    <row r="141" spans="1:27" s="124" customFormat="1" ht="30.6" x14ac:dyDescent="0.25">
      <c r="A141" s="878" t="s">
        <v>1467</v>
      </c>
      <c r="B141" s="798" t="s">
        <v>1417</v>
      </c>
      <c r="C141" s="787" t="s">
        <v>1412</v>
      </c>
      <c r="D141" s="885"/>
      <c r="E141" s="885"/>
      <c r="F141" s="885"/>
      <c r="G141" s="885"/>
      <c r="H141" s="891"/>
      <c r="I141" s="891"/>
      <c r="J141" s="396" t="s">
        <v>941</v>
      </c>
      <c r="K141" s="791" t="s">
        <v>1413</v>
      </c>
      <c r="L141" s="397" t="s">
        <v>1414</v>
      </c>
      <c r="M141" s="792" t="s">
        <v>1415</v>
      </c>
      <c r="N141" s="396" t="s">
        <v>1416</v>
      </c>
      <c r="O141" s="1031">
        <v>529836.55000000005</v>
      </c>
      <c r="P141" s="871" t="s">
        <v>4</v>
      </c>
      <c r="Q141" s="396" t="s">
        <v>977</v>
      </c>
      <c r="R141" s="396">
        <v>20046.439999999999</v>
      </c>
      <c r="S141" s="396" t="s">
        <v>977</v>
      </c>
      <c r="T141" s="793">
        <v>44905100</v>
      </c>
      <c r="U141" s="789">
        <f>12206.98+20579.99+32308.85+14221.12+35132.1+32397.46</f>
        <v>146846.5</v>
      </c>
      <c r="V141" s="789">
        <f>14221.12+35132.1+32397.46</f>
        <v>81750.679999999993</v>
      </c>
      <c r="W141" s="789">
        <f>12206.98+20579.99+32308.85+14221.12+35132.1+32397.46</f>
        <v>146846.5</v>
      </c>
      <c r="X141" s="789">
        <f>W141</f>
        <v>146846.5</v>
      </c>
      <c r="Y141" s="1041" t="s">
        <v>641</v>
      </c>
      <c r="Z141" s="1025">
        <f t="shared" si="19"/>
        <v>382990.05000000005</v>
      </c>
      <c r="AA141" s="1028">
        <f t="shared" si="20"/>
        <v>0</v>
      </c>
    </row>
    <row r="142" spans="1:27" s="124" customFormat="1" ht="30.6" x14ac:dyDescent="0.25">
      <c r="A142" s="878" t="s">
        <v>1468</v>
      </c>
      <c r="B142" s="798" t="s">
        <v>1418</v>
      </c>
      <c r="C142" s="787" t="s">
        <v>1420</v>
      </c>
      <c r="D142" s="885"/>
      <c r="E142" s="885"/>
      <c r="F142" s="885"/>
      <c r="G142" s="885"/>
      <c r="H142" s="891"/>
      <c r="I142" s="891"/>
      <c r="J142" s="396" t="s">
        <v>941</v>
      </c>
      <c r="K142" s="791" t="s">
        <v>1413</v>
      </c>
      <c r="L142" s="397" t="s">
        <v>1421</v>
      </c>
      <c r="M142" s="792" t="s">
        <v>1415</v>
      </c>
      <c r="N142" s="396" t="s">
        <v>990</v>
      </c>
      <c r="O142" s="1042">
        <v>459729.1</v>
      </c>
      <c r="P142" s="871" t="s">
        <v>4</v>
      </c>
      <c r="Q142" s="396" t="s">
        <v>977</v>
      </c>
      <c r="R142" s="396" t="s">
        <v>977</v>
      </c>
      <c r="S142" s="396" t="s">
        <v>977</v>
      </c>
      <c r="T142" s="793">
        <v>44905100</v>
      </c>
      <c r="U142" s="789">
        <f>15062.7+16938.27+32054.07+27546.66</f>
        <v>91601.7</v>
      </c>
      <c r="V142" s="789">
        <v>0</v>
      </c>
      <c r="W142" s="789">
        <f t="shared" ref="W142:X142" si="21">16938.27+32054.07</f>
        <v>48992.34</v>
      </c>
      <c r="X142" s="789">
        <f t="shared" si="21"/>
        <v>48992.34</v>
      </c>
      <c r="Y142" s="1041" t="s">
        <v>641</v>
      </c>
      <c r="Z142" s="1025">
        <f t="shared" si="19"/>
        <v>410736.76</v>
      </c>
      <c r="AA142" s="1028">
        <f t="shared" si="20"/>
        <v>42609.36</v>
      </c>
    </row>
    <row r="143" spans="1:27" s="124" customFormat="1" ht="30.6" x14ac:dyDescent="0.25">
      <c r="A143" s="878" t="s">
        <v>1469</v>
      </c>
      <c r="B143" s="798" t="s">
        <v>1419</v>
      </c>
      <c r="C143" s="787" t="s">
        <v>1422</v>
      </c>
      <c r="D143" s="885"/>
      <c r="E143" s="885"/>
      <c r="F143" s="885"/>
      <c r="G143" s="885"/>
      <c r="H143" s="891"/>
      <c r="I143" s="891"/>
      <c r="J143" s="396" t="s">
        <v>1018</v>
      </c>
      <c r="K143" s="791" t="s">
        <v>1512</v>
      </c>
      <c r="L143" s="397" t="s">
        <v>1423</v>
      </c>
      <c r="M143" s="792" t="s">
        <v>1424</v>
      </c>
      <c r="N143" s="396" t="s">
        <v>1182</v>
      </c>
      <c r="O143" s="1042">
        <v>549194.36</v>
      </c>
      <c r="P143" s="871" t="s">
        <v>4</v>
      </c>
      <c r="Q143" s="396" t="s">
        <v>977</v>
      </c>
      <c r="R143" s="396" t="s">
        <v>977</v>
      </c>
      <c r="S143" s="396" t="s">
        <v>977</v>
      </c>
      <c r="T143" s="793">
        <v>44905100</v>
      </c>
      <c r="U143" s="789">
        <f>35179.48+41317.03+25263+49677.66</f>
        <v>151437.17000000001</v>
      </c>
      <c r="V143" s="789">
        <v>0</v>
      </c>
      <c r="W143" s="789">
        <f t="shared" ref="W143:X143" si="22">35179.48+41317.03+25263+49677.66</f>
        <v>151437.17000000001</v>
      </c>
      <c r="X143" s="789">
        <f t="shared" si="22"/>
        <v>151437.17000000001</v>
      </c>
      <c r="Y143" s="1041" t="s">
        <v>641</v>
      </c>
      <c r="Z143" s="1025">
        <f t="shared" si="19"/>
        <v>397757.18999999994</v>
      </c>
      <c r="AA143" s="1028">
        <f t="shared" si="20"/>
        <v>0</v>
      </c>
    </row>
    <row r="144" spans="1:27" s="124" customFormat="1" ht="30.6" x14ac:dyDescent="0.25">
      <c r="A144" s="878" t="s">
        <v>1470</v>
      </c>
      <c r="B144" s="798" t="s">
        <v>1425</v>
      </c>
      <c r="C144" s="787" t="s">
        <v>1426</v>
      </c>
      <c r="D144" s="885"/>
      <c r="E144" s="885"/>
      <c r="F144" s="885"/>
      <c r="G144" s="885"/>
      <c r="H144" s="891"/>
      <c r="I144" s="891"/>
      <c r="J144" s="396" t="s">
        <v>992</v>
      </c>
      <c r="K144" s="791" t="s">
        <v>1427</v>
      </c>
      <c r="L144" s="397" t="s">
        <v>1428</v>
      </c>
      <c r="M144" s="792" t="s">
        <v>1429</v>
      </c>
      <c r="N144" s="396" t="s">
        <v>990</v>
      </c>
      <c r="O144" s="1042">
        <v>855016.66</v>
      </c>
      <c r="P144" s="871" t="s">
        <v>4</v>
      </c>
      <c r="Q144" s="396" t="s">
        <v>977</v>
      </c>
      <c r="R144" s="396" t="s">
        <v>977</v>
      </c>
      <c r="S144" s="396" t="s">
        <v>977</v>
      </c>
      <c r="T144" s="793">
        <v>44905100</v>
      </c>
      <c r="U144" s="789">
        <f>20222.32+120476.75+42613.5+55029.65</f>
        <v>238342.22</v>
      </c>
      <c r="V144" s="789">
        <f>55029.65</f>
        <v>55029.65</v>
      </c>
      <c r="W144" s="789">
        <f>20222.32+100000+10187+20476.75+32426.5+55029.65</f>
        <v>238342.22</v>
      </c>
      <c r="X144" s="789">
        <f>20222.32+100000+10187+20476.75+32426.5+55029.65</f>
        <v>238342.22</v>
      </c>
      <c r="Y144" s="1041" t="s">
        <v>641</v>
      </c>
      <c r="Z144" s="1025">
        <f t="shared" si="19"/>
        <v>616674.44000000006</v>
      </c>
      <c r="AA144" s="1028">
        <f t="shared" si="20"/>
        <v>0</v>
      </c>
    </row>
    <row r="145" spans="1:27" s="124" customFormat="1" ht="28.2" customHeight="1" x14ac:dyDescent="0.25">
      <c r="A145" s="878" t="s">
        <v>1471</v>
      </c>
      <c r="B145" s="798" t="s">
        <v>1430</v>
      </c>
      <c r="C145" s="787" t="s">
        <v>1361</v>
      </c>
      <c r="D145" s="885"/>
      <c r="E145" s="885"/>
      <c r="F145" s="885"/>
      <c r="G145" s="885"/>
      <c r="H145" s="891"/>
      <c r="I145" s="891"/>
      <c r="J145" s="396" t="s">
        <v>1164</v>
      </c>
      <c r="K145" s="791" t="s">
        <v>1431</v>
      </c>
      <c r="L145" s="397" t="s">
        <v>1432</v>
      </c>
      <c r="M145" s="792" t="s">
        <v>1433</v>
      </c>
      <c r="N145" s="396" t="s">
        <v>984</v>
      </c>
      <c r="O145" s="1042">
        <v>43881.65</v>
      </c>
      <c r="P145" s="871" t="s">
        <v>4</v>
      </c>
      <c r="Q145" s="396" t="s">
        <v>1614</v>
      </c>
      <c r="R145" s="396">
        <v>10752.5</v>
      </c>
      <c r="S145" s="396" t="s">
        <v>977</v>
      </c>
      <c r="T145" s="793">
        <v>44905100</v>
      </c>
      <c r="U145" s="789">
        <f>21824.18+22057.47+10752.5</f>
        <v>54634.15</v>
      </c>
      <c r="V145" s="789">
        <f>22057.47+10752.5</f>
        <v>32809.97</v>
      </c>
      <c r="W145" s="789">
        <f>5000+4300+12524.18+V145</f>
        <v>54634.15</v>
      </c>
      <c r="X145" s="789">
        <f>5000+4300+12524.18+22057.47+10752.5</f>
        <v>54634.15</v>
      </c>
      <c r="Y145" s="1041" t="s">
        <v>1365</v>
      </c>
      <c r="Z145" s="1025">
        <f t="shared" si="19"/>
        <v>-10752.5</v>
      </c>
      <c r="AA145" s="1028">
        <f t="shared" si="20"/>
        <v>0</v>
      </c>
    </row>
    <row r="146" spans="1:27" s="124" customFormat="1" ht="30.6" x14ac:dyDescent="0.25">
      <c r="A146" s="878" t="s">
        <v>1472</v>
      </c>
      <c r="B146" s="798" t="s">
        <v>1435</v>
      </c>
      <c r="C146" s="787" t="s">
        <v>1434</v>
      </c>
      <c r="D146" s="885"/>
      <c r="E146" s="885"/>
      <c r="F146" s="885"/>
      <c r="G146" s="885"/>
      <c r="H146" s="891"/>
      <c r="I146" s="891"/>
      <c r="J146" s="396" t="s">
        <v>799</v>
      </c>
      <c r="K146" s="396" t="s">
        <v>799</v>
      </c>
      <c r="L146" s="396" t="s">
        <v>799</v>
      </c>
      <c r="M146" s="396" t="s">
        <v>799</v>
      </c>
      <c r="N146" s="396" t="s">
        <v>799</v>
      </c>
      <c r="O146" s="396" t="s">
        <v>799</v>
      </c>
      <c r="P146" s="396" t="s">
        <v>799</v>
      </c>
      <c r="Q146" s="396" t="s">
        <v>799</v>
      </c>
      <c r="R146" s="396" t="s">
        <v>799</v>
      </c>
      <c r="S146" s="396" t="s">
        <v>799</v>
      </c>
      <c r="T146" s="396" t="s">
        <v>799</v>
      </c>
      <c r="U146" s="886" t="s">
        <v>799</v>
      </c>
      <c r="V146" s="886" t="s">
        <v>799</v>
      </c>
      <c r="W146" s="886" t="s">
        <v>799</v>
      </c>
      <c r="X146" s="886" t="s">
        <v>799</v>
      </c>
      <c r="Y146" s="1041" t="s">
        <v>799</v>
      </c>
      <c r="Z146" s="1025"/>
      <c r="AA146" s="1028"/>
    </row>
    <row r="147" spans="1:27" s="124" customFormat="1" ht="30.6" x14ac:dyDescent="0.25">
      <c r="A147" s="878" t="s">
        <v>1473</v>
      </c>
      <c r="B147" s="798" t="s">
        <v>1437</v>
      </c>
      <c r="C147" s="787" t="s">
        <v>1436</v>
      </c>
      <c r="D147" s="885"/>
      <c r="E147" s="885"/>
      <c r="F147" s="885"/>
      <c r="G147" s="885"/>
      <c r="H147" s="891"/>
      <c r="I147" s="891"/>
      <c r="J147" s="396" t="s">
        <v>1164</v>
      </c>
      <c r="K147" s="791" t="s">
        <v>1431</v>
      </c>
      <c r="L147" s="397" t="s">
        <v>1438</v>
      </c>
      <c r="M147" s="792" t="s">
        <v>1439</v>
      </c>
      <c r="N147" s="396" t="s">
        <v>984</v>
      </c>
      <c r="O147" s="1042">
        <v>48570.66</v>
      </c>
      <c r="P147" s="871" t="s">
        <v>4</v>
      </c>
      <c r="Q147" s="396" t="s">
        <v>984</v>
      </c>
      <c r="R147" s="396" t="s">
        <v>977</v>
      </c>
      <c r="S147" s="396" t="s">
        <v>977</v>
      </c>
      <c r="T147" s="793">
        <v>44905100</v>
      </c>
      <c r="U147" s="789">
        <f>23263.66+11821.29+13485.71</f>
        <v>48570.659999999996</v>
      </c>
      <c r="V147" s="789">
        <v>0</v>
      </c>
      <c r="W147" s="789">
        <f t="shared" ref="W147:X147" si="23">23263.66+11821.29+13485.71</f>
        <v>48570.659999999996</v>
      </c>
      <c r="X147" s="789">
        <f t="shared" si="23"/>
        <v>48570.659999999996</v>
      </c>
      <c r="Y147" s="1041" t="s">
        <v>1365</v>
      </c>
      <c r="Z147" s="1025">
        <f t="shared" si="19"/>
        <v>0</v>
      </c>
      <c r="AA147" s="1028">
        <f t="shared" si="20"/>
        <v>0</v>
      </c>
    </row>
    <row r="148" spans="1:27" s="124" customFormat="1" ht="61.2" x14ac:dyDescent="0.25">
      <c r="A148" s="878" t="s">
        <v>1474</v>
      </c>
      <c r="B148" s="798" t="s">
        <v>1441</v>
      </c>
      <c r="C148" s="787" t="s">
        <v>1440</v>
      </c>
      <c r="D148" s="885"/>
      <c r="E148" s="885"/>
      <c r="F148" s="885"/>
      <c r="G148" s="885"/>
      <c r="H148" s="891"/>
      <c r="I148" s="891"/>
      <c r="J148" s="396" t="s">
        <v>436</v>
      </c>
      <c r="K148" s="396" t="s">
        <v>436</v>
      </c>
      <c r="L148" s="396" t="s">
        <v>436</v>
      </c>
      <c r="M148" s="396" t="s">
        <v>436</v>
      </c>
      <c r="N148" s="396" t="s">
        <v>436</v>
      </c>
      <c r="O148" s="396" t="s">
        <v>436</v>
      </c>
      <c r="P148" s="396" t="s">
        <v>436</v>
      </c>
      <c r="Q148" s="396" t="s">
        <v>436</v>
      </c>
      <c r="R148" s="396" t="s">
        <v>436</v>
      </c>
      <c r="S148" s="396" t="s">
        <v>436</v>
      </c>
      <c r="T148" s="396" t="s">
        <v>436</v>
      </c>
      <c r="U148" s="886" t="s">
        <v>436</v>
      </c>
      <c r="V148" s="886" t="s">
        <v>436</v>
      </c>
      <c r="W148" s="886" t="s">
        <v>436</v>
      </c>
      <c r="X148" s="886" t="s">
        <v>436</v>
      </c>
      <c r="Y148" s="1041" t="s">
        <v>436</v>
      </c>
      <c r="Z148" s="1025"/>
      <c r="AA148" s="1028"/>
    </row>
    <row r="149" spans="1:27" s="124" customFormat="1" ht="30.6" customHeight="1" x14ac:dyDescent="0.25">
      <c r="A149" s="878" t="s">
        <v>1475</v>
      </c>
      <c r="B149" s="798" t="s">
        <v>1600</v>
      </c>
      <c r="C149" s="787" t="s">
        <v>1442</v>
      </c>
      <c r="D149" s="885"/>
      <c r="E149" s="885"/>
      <c r="F149" s="885"/>
      <c r="G149" s="885"/>
      <c r="H149" s="891"/>
      <c r="I149" s="891"/>
      <c r="J149" s="396" t="s">
        <v>1009</v>
      </c>
      <c r="K149" s="791" t="s">
        <v>1443</v>
      </c>
      <c r="L149" s="397" t="s">
        <v>1444</v>
      </c>
      <c r="M149" s="792" t="s">
        <v>1445</v>
      </c>
      <c r="N149" s="396" t="s">
        <v>984</v>
      </c>
      <c r="O149" s="1031">
        <v>14163.09</v>
      </c>
      <c r="P149" s="871" t="s">
        <v>4</v>
      </c>
      <c r="Q149" s="396" t="s">
        <v>1613</v>
      </c>
      <c r="R149" s="396" t="s">
        <v>977</v>
      </c>
      <c r="S149" s="396" t="s">
        <v>977</v>
      </c>
      <c r="T149" s="793">
        <v>44905100</v>
      </c>
      <c r="U149" s="789">
        <v>14163.09</v>
      </c>
      <c r="V149" s="789">
        <v>14163.09</v>
      </c>
      <c r="W149" s="789">
        <f>V149</f>
        <v>14163.09</v>
      </c>
      <c r="X149" s="789">
        <f>W149</f>
        <v>14163.09</v>
      </c>
      <c r="Y149" s="1041" t="s">
        <v>1365</v>
      </c>
      <c r="Z149" s="1025">
        <f t="shared" si="19"/>
        <v>0</v>
      </c>
      <c r="AA149" s="1028">
        <f t="shared" si="20"/>
        <v>0</v>
      </c>
    </row>
    <row r="150" spans="1:27" s="124" customFormat="1" ht="30.6" x14ac:dyDescent="0.25">
      <c r="A150" s="878" t="s">
        <v>1476</v>
      </c>
      <c r="B150" s="798" t="s">
        <v>1446</v>
      </c>
      <c r="C150" s="787" t="s">
        <v>1447</v>
      </c>
      <c r="D150" s="885"/>
      <c r="E150" s="885"/>
      <c r="F150" s="885"/>
      <c r="G150" s="885"/>
      <c r="H150" s="891"/>
      <c r="I150" s="891"/>
      <c r="J150" s="396" t="s">
        <v>941</v>
      </c>
      <c r="K150" s="791" t="s">
        <v>1413</v>
      </c>
      <c r="L150" s="397" t="s">
        <v>1448</v>
      </c>
      <c r="M150" s="792" t="s">
        <v>1449</v>
      </c>
      <c r="N150" s="396" t="s">
        <v>976</v>
      </c>
      <c r="O150" s="1031">
        <v>218272.17</v>
      </c>
      <c r="P150" s="871" t="s">
        <v>4</v>
      </c>
      <c r="Q150" s="396" t="s">
        <v>976</v>
      </c>
      <c r="R150" s="396" t="s">
        <v>977</v>
      </c>
      <c r="S150" s="396" t="s">
        <v>977</v>
      </c>
      <c r="T150" s="793">
        <v>44905100</v>
      </c>
      <c r="U150" s="789">
        <f>18322.13</f>
        <v>18322.13</v>
      </c>
      <c r="V150" s="789">
        <v>9000</v>
      </c>
      <c r="W150" s="789">
        <v>9000</v>
      </c>
      <c r="X150" s="789">
        <v>9000</v>
      </c>
      <c r="Y150" s="1041" t="s">
        <v>641</v>
      </c>
      <c r="Z150" s="1025">
        <f t="shared" si="19"/>
        <v>209272.17</v>
      </c>
      <c r="AA150" s="1028">
        <f t="shared" si="20"/>
        <v>9322.130000000001</v>
      </c>
    </row>
    <row r="151" spans="1:27" s="124" customFormat="1" ht="34.200000000000003" customHeight="1" x14ac:dyDescent="0.25">
      <c r="A151" s="878" t="s">
        <v>1477</v>
      </c>
      <c r="B151" s="798" t="s">
        <v>1451</v>
      </c>
      <c r="C151" s="787" t="s">
        <v>1450</v>
      </c>
      <c r="D151" s="885"/>
      <c r="E151" s="885"/>
      <c r="F151" s="885"/>
      <c r="G151" s="885"/>
      <c r="H151" s="891"/>
      <c r="I151" s="891"/>
      <c r="J151" s="396" t="s">
        <v>1453</v>
      </c>
      <c r="K151" s="791" t="s">
        <v>1452</v>
      </c>
      <c r="L151" s="397" t="s">
        <v>1454</v>
      </c>
      <c r="M151" s="792" t="s">
        <v>1455</v>
      </c>
      <c r="N151" s="396" t="s">
        <v>982</v>
      </c>
      <c r="O151" s="1031">
        <v>48099.58</v>
      </c>
      <c r="P151" s="871" t="s">
        <v>4</v>
      </c>
      <c r="Q151" s="886" t="s">
        <v>1028</v>
      </c>
      <c r="R151" s="886" t="s">
        <v>1028</v>
      </c>
      <c r="S151" s="886" t="s">
        <v>1028</v>
      </c>
      <c r="T151" s="886" t="s">
        <v>1028</v>
      </c>
      <c r="U151" s="886" t="s">
        <v>1028</v>
      </c>
      <c r="V151" s="886" t="s">
        <v>1028</v>
      </c>
      <c r="W151" s="886" t="s">
        <v>1028</v>
      </c>
      <c r="X151" s="886" t="s">
        <v>1028</v>
      </c>
      <c r="Y151" s="1041" t="s">
        <v>1028</v>
      </c>
      <c r="Z151" s="1025"/>
      <c r="AA151" s="1028"/>
    </row>
    <row r="152" spans="1:27" s="124" customFormat="1" ht="40.799999999999997" x14ac:dyDescent="0.25">
      <c r="A152" s="878" t="s">
        <v>1478</v>
      </c>
      <c r="B152" s="798" t="s">
        <v>1599</v>
      </c>
      <c r="C152" s="787" t="s">
        <v>1457</v>
      </c>
      <c r="D152" s="885"/>
      <c r="E152" s="885"/>
      <c r="F152" s="885"/>
      <c r="G152" s="885"/>
      <c r="H152" s="891"/>
      <c r="I152" s="891"/>
      <c r="J152" s="396" t="s">
        <v>1009</v>
      </c>
      <c r="K152" s="791" t="s">
        <v>1443</v>
      </c>
      <c r="L152" s="397" t="s">
        <v>1456</v>
      </c>
      <c r="M152" s="792" t="s">
        <v>1458</v>
      </c>
      <c r="N152" s="396" t="s">
        <v>984</v>
      </c>
      <c r="O152" s="1031">
        <v>5430</v>
      </c>
      <c r="P152" s="871" t="s">
        <v>4</v>
      </c>
      <c r="Q152" s="396" t="s">
        <v>1613</v>
      </c>
      <c r="R152" s="396" t="s">
        <v>977</v>
      </c>
      <c r="S152" s="396" t="s">
        <v>977</v>
      </c>
      <c r="T152" s="793">
        <v>44905100</v>
      </c>
      <c r="U152" s="789">
        <v>5430</v>
      </c>
      <c r="V152" s="789">
        <v>0</v>
      </c>
      <c r="W152" s="789">
        <v>5430</v>
      </c>
      <c r="X152" s="789">
        <v>5430</v>
      </c>
      <c r="Y152" s="1041" t="s">
        <v>1365</v>
      </c>
      <c r="Z152" s="1025">
        <f t="shared" si="19"/>
        <v>0</v>
      </c>
      <c r="AA152" s="1028">
        <f t="shared" si="20"/>
        <v>0</v>
      </c>
    </row>
    <row r="153" spans="1:27" s="124" customFormat="1" ht="30.6" x14ac:dyDescent="0.25">
      <c r="A153" s="878" t="s">
        <v>1479</v>
      </c>
      <c r="B153" s="798" t="s">
        <v>1460</v>
      </c>
      <c r="C153" s="787" t="s">
        <v>1459</v>
      </c>
      <c r="D153" s="1043"/>
      <c r="E153" s="1043"/>
      <c r="F153" s="1043"/>
      <c r="G153" s="1043"/>
      <c r="H153" s="87"/>
      <c r="I153" s="87"/>
      <c r="J153" s="396" t="s">
        <v>1214</v>
      </c>
      <c r="K153" s="791" t="s">
        <v>1461</v>
      </c>
      <c r="L153" s="397" t="s">
        <v>1462</v>
      </c>
      <c r="M153" s="792" t="s">
        <v>1463</v>
      </c>
      <c r="N153" s="396" t="s">
        <v>1464</v>
      </c>
      <c r="O153" s="1031">
        <v>14305.28</v>
      </c>
      <c r="P153" s="1044"/>
      <c r="Q153" s="396" t="s">
        <v>1613</v>
      </c>
      <c r="R153" s="396" t="s">
        <v>977</v>
      </c>
      <c r="S153" s="396" t="s">
        <v>977</v>
      </c>
      <c r="T153" s="793">
        <v>44905100</v>
      </c>
      <c r="U153" s="789">
        <f>14305.28</f>
        <v>14305.28</v>
      </c>
      <c r="V153" s="789">
        <v>14305.28</v>
      </c>
      <c r="W153" s="789">
        <v>14305.28</v>
      </c>
      <c r="X153" s="789">
        <v>14305.28</v>
      </c>
      <c r="Y153" s="1041" t="s">
        <v>1365</v>
      </c>
      <c r="Z153" s="1025">
        <f t="shared" si="19"/>
        <v>0</v>
      </c>
      <c r="AA153" s="1028">
        <f t="shared" si="20"/>
        <v>0</v>
      </c>
    </row>
    <row r="154" spans="1:27" s="124" customFormat="1" ht="67.95" customHeight="1" x14ac:dyDescent="0.25">
      <c r="A154" s="878" t="s">
        <v>1480</v>
      </c>
      <c r="B154" s="798" t="s">
        <v>1498</v>
      </c>
      <c r="C154" s="787" t="s">
        <v>1440</v>
      </c>
      <c r="D154" s="1043"/>
      <c r="E154" s="1043"/>
      <c r="F154" s="1043"/>
      <c r="G154" s="1043"/>
      <c r="H154" s="87"/>
      <c r="I154" s="87"/>
      <c r="J154" s="396" t="s">
        <v>1214</v>
      </c>
      <c r="K154" s="791" t="s">
        <v>1461</v>
      </c>
      <c r="L154" s="397" t="s">
        <v>1466</v>
      </c>
      <c r="M154" s="792" t="s">
        <v>1429</v>
      </c>
      <c r="N154" s="396" t="s">
        <v>976</v>
      </c>
      <c r="O154" s="1031">
        <v>113917.27</v>
      </c>
      <c r="P154" s="1044"/>
      <c r="Q154" s="396" t="s">
        <v>976</v>
      </c>
      <c r="R154" s="396">
        <v>26782.92</v>
      </c>
      <c r="S154" s="396" t="s">
        <v>977</v>
      </c>
      <c r="T154" s="793">
        <v>44905100</v>
      </c>
      <c r="U154" s="789">
        <f>70315.18+33725.97+26782.92</f>
        <v>130824.06999999999</v>
      </c>
      <c r="V154" s="789">
        <f>20000+5110+10000+25000</f>
        <v>60110</v>
      </c>
      <c r="W154" s="789">
        <f>V154</f>
        <v>60110</v>
      </c>
      <c r="X154" s="789">
        <f>W154</f>
        <v>60110</v>
      </c>
      <c r="Y154" s="1041" t="s">
        <v>641</v>
      </c>
      <c r="Z154" s="1025">
        <f t="shared" si="19"/>
        <v>53807.270000000004</v>
      </c>
      <c r="AA154" s="1028">
        <f t="shared" si="20"/>
        <v>70714.069999999992</v>
      </c>
    </row>
    <row r="155" spans="1:27" s="124" customFormat="1" ht="31.95" customHeight="1" x14ac:dyDescent="0.25">
      <c r="A155" s="878" t="s">
        <v>1481</v>
      </c>
      <c r="B155" s="798" t="s">
        <v>1465</v>
      </c>
      <c r="C155" s="787" t="s">
        <v>1499</v>
      </c>
      <c r="D155" s="1043"/>
      <c r="E155" s="1043"/>
      <c r="F155" s="1043"/>
      <c r="G155" s="1043"/>
      <c r="H155" s="87"/>
      <c r="I155" s="87"/>
      <c r="J155" s="396" t="s">
        <v>1164</v>
      </c>
      <c r="K155" s="791" t="s">
        <v>1431</v>
      </c>
      <c r="L155" s="397" t="s">
        <v>1500</v>
      </c>
      <c r="M155" s="792" t="s">
        <v>1501</v>
      </c>
      <c r="N155" s="396" t="s">
        <v>982</v>
      </c>
      <c r="O155" s="1031">
        <v>45662.89</v>
      </c>
      <c r="P155" s="815" t="s">
        <v>1028</v>
      </c>
      <c r="Q155" s="396" t="s">
        <v>984</v>
      </c>
      <c r="R155" s="396" t="s">
        <v>977</v>
      </c>
      <c r="S155" s="396" t="s">
        <v>977</v>
      </c>
      <c r="T155" s="793">
        <v>44905100</v>
      </c>
      <c r="U155" s="815" t="s">
        <v>1028</v>
      </c>
      <c r="V155" s="815" t="s">
        <v>1028</v>
      </c>
      <c r="W155" s="815" t="s">
        <v>1028</v>
      </c>
      <c r="X155" s="815" t="s">
        <v>1028</v>
      </c>
      <c r="Y155" s="1020" t="s">
        <v>1028</v>
      </c>
      <c r="Z155" s="1025"/>
      <c r="AA155" s="1028"/>
    </row>
    <row r="156" spans="1:27" s="124" customFormat="1" ht="30.6" x14ac:dyDescent="0.25">
      <c r="A156" s="878" t="s">
        <v>1482</v>
      </c>
      <c r="B156" s="798" t="s">
        <v>1503</v>
      </c>
      <c r="C156" s="787" t="s">
        <v>1502</v>
      </c>
      <c r="D156" s="1043"/>
      <c r="E156" s="1043"/>
      <c r="F156" s="1043"/>
      <c r="G156" s="1043"/>
      <c r="H156" s="87"/>
      <c r="I156" s="87"/>
      <c r="J156" s="396" t="s">
        <v>1505</v>
      </c>
      <c r="K156" s="791" t="s">
        <v>1504</v>
      </c>
      <c r="L156" s="397" t="s">
        <v>1506</v>
      </c>
      <c r="M156" s="792" t="s">
        <v>1507</v>
      </c>
      <c r="N156" s="396" t="s">
        <v>982</v>
      </c>
      <c r="O156" s="1031">
        <v>17086.400000000001</v>
      </c>
      <c r="P156" s="815" t="s">
        <v>1028</v>
      </c>
      <c r="Q156" s="396" t="s">
        <v>977</v>
      </c>
      <c r="R156" s="396" t="s">
        <v>977</v>
      </c>
      <c r="S156" s="396" t="s">
        <v>977</v>
      </c>
      <c r="T156" s="793">
        <v>44905100</v>
      </c>
      <c r="U156" s="815" t="s">
        <v>1028</v>
      </c>
      <c r="V156" s="815" t="s">
        <v>1028</v>
      </c>
      <c r="W156" s="815" t="s">
        <v>1028</v>
      </c>
      <c r="X156" s="815" t="s">
        <v>1028</v>
      </c>
      <c r="Y156" s="1020" t="s">
        <v>1028</v>
      </c>
      <c r="Z156" s="1025"/>
      <c r="AA156" s="1028"/>
    </row>
    <row r="157" spans="1:27" s="124" customFormat="1" ht="30.6" x14ac:dyDescent="0.25">
      <c r="A157" s="878" t="s">
        <v>1483</v>
      </c>
      <c r="B157" s="798" t="s">
        <v>1509</v>
      </c>
      <c r="C157" s="787" t="s">
        <v>1508</v>
      </c>
      <c r="D157" s="1043"/>
      <c r="E157" s="1043"/>
      <c r="F157" s="1043"/>
      <c r="G157" s="1043"/>
      <c r="H157" s="87"/>
      <c r="I157" s="87"/>
      <c r="J157" s="396" t="s">
        <v>941</v>
      </c>
      <c r="K157" s="791" t="s">
        <v>1413</v>
      </c>
      <c r="L157" s="397" t="s">
        <v>1510</v>
      </c>
      <c r="M157" s="792" t="s">
        <v>1515</v>
      </c>
      <c r="N157" s="396" t="s">
        <v>990</v>
      </c>
      <c r="O157" s="1031">
        <v>724461.55</v>
      </c>
      <c r="P157" s="815" t="s">
        <v>1028</v>
      </c>
      <c r="Q157" s="396" t="s">
        <v>977</v>
      </c>
      <c r="R157" s="396" t="s">
        <v>977</v>
      </c>
      <c r="S157" s="396" t="s">
        <v>977</v>
      </c>
      <c r="T157" s="793">
        <v>44905100</v>
      </c>
      <c r="U157" s="815" t="s">
        <v>1028</v>
      </c>
      <c r="V157" s="815" t="s">
        <v>1028</v>
      </c>
      <c r="W157" s="815" t="s">
        <v>1028</v>
      </c>
      <c r="X157" s="815" t="s">
        <v>1028</v>
      </c>
      <c r="Y157" s="1020" t="s">
        <v>1028</v>
      </c>
      <c r="Z157" s="1025"/>
      <c r="AA157" s="1028"/>
    </row>
    <row r="158" spans="1:27" s="124" customFormat="1" ht="30.6" x14ac:dyDescent="0.25">
      <c r="A158" s="878" t="s">
        <v>1484</v>
      </c>
      <c r="B158" s="798" t="s">
        <v>1513</v>
      </c>
      <c r="C158" s="787" t="s">
        <v>1516</v>
      </c>
      <c r="D158" s="1043"/>
      <c r="E158" s="1043"/>
      <c r="F158" s="1043"/>
      <c r="G158" s="1043"/>
      <c r="H158" s="87"/>
      <c r="I158" s="87"/>
      <c r="J158" s="396" t="s">
        <v>1518</v>
      </c>
      <c r="K158" s="791" t="s">
        <v>1517</v>
      </c>
      <c r="L158" s="397" t="s">
        <v>1519</v>
      </c>
      <c r="M158" s="792" t="s">
        <v>1515</v>
      </c>
      <c r="N158" s="396" t="s">
        <v>990</v>
      </c>
      <c r="O158" s="1031">
        <v>456053.54</v>
      </c>
      <c r="P158" s="815" t="s">
        <v>1028</v>
      </c>
      <c r="Q158" s="396" t="s">
        <v>977</v>
      </c>
      <c r="R158" s="396" t="s">
        <v>977</v>
      </c>
      <c r="S158" s="396" t="s">
        <v>977</v>
      </c>
      <c r="T158" s="793">
        <v>44905100</v>
      </c>
      <c r="U158" s="815" t="s">
        <v>1028</v>
      </c>
      <c r="V158" s="815" t="s">
        <v>1028</v>
      </c>
      <c r="W158" s="815" t="s">
        <v>1028</v>
      </c>
      <c r="X158" s="815" t="s">
        <v>1028</v>
      </c>
      <c r="Y158" s="1020" t="s">
        <v>1028</v>
      </c>
      <c r="Z158" s="1025"/>
      <c r="AA158" s="1028"/>
    </row>
    <row r="159" spans="1:27" s="124" customFormat="1" ht="30.6" x14ac:dyDescent="0.25">
      <c r="A159" s="878" t="s">
        <v>1485</v>
      </c>
      <c r="B159" s="798" t="s">
        <v>1514</v>
      </c>
      <c r="C159" s="787" t="s">
        <v>1520</v>
      </c>
      <c r="D159" s="1043"/>
      <c r="E159" s="1043"/>
      <c r="F159" s="1043"/>
      <c r="G159" s="1043"/>
      <c r="H159" s="87"/>
      <c r="I159" s="87"/>
      <c r="J159" s="396" t="s">
        <v>941</v>
      </c>
      <c r="K159" s="791" t="s">
        <v>1413</v>
      </c>
      <c r="L159" s="397" t="s">
        <v>1511</v>
      </c>
      <c r="M159" s="792" t="s">
        <v>1515</v>
      </c>
      <c r="N159" s="396" t="s">
        <v>990</v>
      </c>
      <c r="O159" s="1031">
        <v>292691.56</v>
      </c>
      <c r="P159" s="815" t="s">
        <v>1028</v>
      </c>
      <c r="Q159" s="396" t="s">
        <v>977</v>
      </c>
      <c r="R159" s="396" t="s">
        <v>977</v>
      </c>
      <c r="S159" s="396" t="s">
        <v>977</v>
      </c>
      <c r="T159" s="793">
        <v>44905100</v>
      </c>
      <c r="U159" s="815" t="s">
        <v>1028</v>
      </c>
      <c r="V159" s="815" t="s">
        <v>1028</v>
      </c>
      <c r="W159" s="815" t="s">
        <v>1028</v>
      </c>
      <c r="X159" s="815" t="s">
        <v>1028</v>
      </c>
      <c r="Y159" s="1020" t="s">
        <v>1028</v>
      </c>
      <c r="Z159" s="1025"/>
      <c r="AA159" s="1028"/>
    </row>
    <row r="160" spans="1:27" s="124" customFormat="1" ht="30.6" x14ac:dyDescent="0.25">
      <c r="A160" s="878" t="s">
        <v>1486</v>
      </c>
      <c r="B160" s="798" t="s">
        <v>1522</v>
      </c>
      <c r="C160" s="787" t="s">
        <v>1521</v>
      </c>
      <c r="D160" s="1043"/>
      <c r="E160" s="1043"/>
      <c r="F160" s="1043"/>
      <c r="G160" s="1043"/>
      <c r="H160" s="87"/>
      <c r="I160" s="87"/>
      <c r="J160" s="396" t="s">
        <v>1164</v>
      </c>
      <c r="K160" s="791" t="s">
        <v>1431</v>
      </c>
      <c r="L160" s="397" t="s">
        <v>1524</v>
      </c>
      <c r="M160" s="792" t="s">
        <v>1523</v>
      </c>
      <c r="N160" s="396" t="s">
        <v>984</v>
      </c>
      <c r="O160" s="1031">
        <v>14427.55</v>
      </c>
      <c r="P160" s="1044"/>
      <c r="Q160" s="396" t="s">
        <v>1613</v>
      </c>
      <c r="R160" s="396" t="s">
        <v>977</v>
      </c>
      <c r="S160" s="396" t="s">
        <v>977</v>
      </c>
      <c r="T160" s="793">
        <v>44905100</v>
      </c>
      <c r="U160" s="886">
        <f>14365.41</f>
        <v>14365.41</v>
      </c>
      <c r="V160" s="886">
        <v>14365.41</v>
      </c>
      <c r="W160" s="886">
        <v>14365.41</v>
      </c>
      <c r="X160" s="886">
        <v>14365.41</v>
      </c>
      <c r="Y160" s="1041" t="s">
        <v>1365</v>
      </c>
      <c r="Z160" s="1025">
        <f t="shared" si="19"/>
        <v>62.139999999999418</v>
      </c>
      <c r="AA160" s="1028">
        <f t="shared" si="20"/>
        <v>0</v>
      </c>
    </row>
    <row r="161" spans="1:27" s="124" customFormat="1" ht="30.6" x14ac:dyDescent="0.25">
      <c r="A161" s="878" t="s">
        <v>1487</v>
      </c>
      <c r="B161" s="798" t="s">
        <v>1529</v>
      </c>
      <c r="C161" s="787" t="s">
        <v>1525</v>
      </c>
      <c r="D161" s="821"/>
      <c r="E161" s="821"/>
      <c r="F161" s="821"/>
      <c r="G161" s="821"/>
      <c r="H161" s="3"/>
      <c r="I161" s="3"/>
      <c r="J161" s="396" t="s">
        <v>1013</v>
      </c>
      <c r="K161" s="791" t="s">
        <v>1528</v>
      </c>
      <c r="L161" s="397" t="s">
        <v>1526</v>
      </c>
      <c r="M161" s="792" t="s">
        <v>1527</v>
      </c>
      <c r="N161" s="396" t="s">
        <v>990</v>
      </c>
      <c r="O161" s="1031">
        <v>116763.2</v>
      </c>
      <c r="P161" s="1044"/>
      <c r="Q161" s="396" t="s">
        <v>977</v>
      </c>
      <c r="R161" s="396" t="s">
        <v>977</v>
      </c>
      <c r="S161" s="396" t="s">
        <v>977</v>
      </c>
      <c r="T161" s="793">
        <v>44905100</v>
      </c>
      <c r="U161" s="886">
        <f>45294.05+24774.24</f>
        <v>70068.290000000008</v>
      </c>
      <c r="V161" s="886">
        <v>28000</v>
      </c>
      <c r="W161" s="886">
        <v>28000</v>
      </c>
      <c r="X161" s="886">
        <v>28000</v>
      </c>
      <c r="Y161" s="1041" t="s">
        <v>641</v>
      </c>
      <c r="Z161" s="1025">
        <f t="shared" si="19"/>
        <v>88763.199999999997</v>
      </c>
      <c r="AA161" s="1028">
        <f t="shared" si="20"/>
        <v>42068.290000000008</v>
      </c>
    </row>
    <row r="162" spans="1:27" s="124" customFormat="1" ht="30.6" x14ac:dyDescent="0.25">
      <c r="A162" s="878" t="s">
        <v>1488</v>
      </c>
      <c r="B162" s="798" t="s">
        <v>1531</v>
      </c>
      <c r="C162" s="787" t="s">
        <v>1530</v>
      </c>
      <c r="D162" s="821"/>
      <c r="E162" s="821"/>
      <c r="F162" s="821"/>
      <c r="G162" s="821"/>
      <c r="H162" s="3"/>
      <c r="I162" s="3"/>
      <c r="J162" s="396" t="s">
        <v>1009</v>
      </c>
      <c r="K162" s="791" t="s">
        <v>1443</v>
      </c>
      <c r="L162" s="397" t="s">
        <v>1532</v>
      </c>
      <c r="M162" s="792" t="s">
        <v>1527</v>
      </c>
      <c r="N162" s="396" t="s">
        <v>982</v>
      </c>
      <c r="O162" s="1031">
        <v>19204.599999999999</v>
      </c>
      <c r="P162" s="815" t="s">
        <v>1028</v>
      </c>
      <c r="Q162" s="396" t="s">
        <v>977</v>
      </c>
      <c r="R162" s="396" t="s">
        <v>977</v>
      </c>
      <c r="S162" s="396" t="s">
        <v>977</v>
      </c>
      <c r="T162" s="793">
        <v>44905100</v>
      </c>
      <c r="U162" s="815" t="s">
        <v>1028</v>
      </c>
      <c r="V162" s="815" t="s">
        <v>1028</v>
      </c>
      <c r="W162" s="815" t="s">
        <v>1028</v>
      </c>
      <c r="X162" s="815" t="s">
        <v>1028</v>
      </c>
      <c r="Y162" s="1020" t="s">
        <v>1028</v>
      </c>
      <c r="Z162" s="1025"/>
      <c r="AA162" s="1028"/>
    </row>
    <row r="163" spans="1:27" s="124" customFormat="1" ht="30.6" x14ac:dyDescent="0.25">
      <c r="A163" s="878" t="s">
        <v>1489</v>
      </c>
      <c r="B163" s="798" t="s">
        <v>1534</v>
      </c>
      <c r="C163" s="787" t="s">
        <v>1533</v>
      </c>
      <c r="D163" s="821"/>
      <c r="E163" s="821"/>
      <c r="F163" s="821"/>
      <c r="G163" s="821"/>
      <c r="H163" s="3"/>
      <c r="I163" s="3"/>
      <c r="J163" s="396" t="s">
        <v>1009</v>
      </c>
      <c r="K163" s="791" t="s">
        <v>1443</v>
      </c>
      <c r="L163" s="397" t="s">
        <v>1535</v>
      </c>
      <c r="M163" s="792" t="s">
        <v>1507</v>
      </c>
      <c r="N163" s="396" t="s">
        <v>982</v>
      </c>
      <c r="O163" s="1031">
        <v>104442.8</v>
      </c>
      <c r="P163" s="1044"/>
      <c r="Q163" s="396" t="s">
        <v>982</v>
      </c>
      <c r="R163" s="396">
        <v>25938.6</v>
      </c>
      <c r="S163" s="396" t="s">
        <v>977</v>
      </c>
      <c r="T163" s="793">
        <v>44905100</v>
      </c>
      <c r="U163" s="886">
        <f>60217.85+44224.95+25938.6</f>
        <v>130381.4</v>
      </c>
      <c r="V163" s="886">
        <f>9217.85+51000+25938.6+44224.95</f>
        <v>130381.4</v>
      </c>
      <c r="W163" s="886">
        <f>V163</f>
        <v>130381.4</v>
      </c>
      <c r="X163" s="886">
        <f>W163</f>
        <v>130381.4</v>
      </c>
      <c r="Y163" s="1041" t="s">
        <v>641</v>
      </c>
      <c r="Z163" s="1025">
        <f t="shared" si="19"/>
        <v>-25938.599999999991</v>
      </c>
      <c r="AA163" s="1028">
        <f t="shared" si="20"/>
        <v>0</v>
      </c>
    </row>
    <row r="164" spans="1:27" s="124" customFormat="1" ht="30.6" customHeight="1" x14ac:dyDescent="0.25">
      <c r="A164" s="878" t="s">
        <v>1490</v>
      </c>
      <c r="B164" s="798" t="s">
        <v>1536</v>
      </c>
      <c r="C164" s="787" t="s">
        <v>1537</v>
      </c>
      <c r="D164" s="821"/>
      <c r="E164" s="821"/>
      <c r="F164" s="821"/>
      <c r="G164" s="821"/>
      <c r="H164" s="3"/>
      <c r="I164" s="3"/>
      <c r="J164" s="396" t="s">
        <v>1009</v>
      </c>
      <c r="K164" s="791" t="s">
        <v>1443</v>
      </c>
      <c r="L164" s="397" t="s">
        <v>1538</v>
      </c>
      <c r="M164" s="792" t="s">
        <v>1539</v>
      </c>
      <c r="N164" s="396" t="s">
        <v>976</v>
      </c>
      <c r="O164" s="1031">
        <v>80772.22</v>
      </c>
      <c r="P164" s="1044"/>
      <c r="Q164" s="396" t="s">
        <v>977</v>
      </c>
      <c r="R164" s="396" t="s">
        <v>977</v>
      </c>
      <c r="S164" s="396" t="s">
        <v>977</v>
      </c>
      <c r="T164" s="793">
        <v>44905100</v>
      </c>
      <c r="U164" s="815" t="s">
        <v>1028</v>
      </c>
      <c r="V164" s="815" t="s">
        <v>1028</v>
      </c>
      <c r="W164" s="815" t="s">
        <v>1028</v>
      </c>
      <c r="X164" s="815" t="s">
        <v>1028</v>
      </c>
      <c r="Y164" s="1020" t="s">
        <v>1028</v>
      </c>
      <c r="Z164" s="1025"/>
      <c r="AA164" s="1028"/>
    </row>
    <row r="165" spans="1:27" s="124" customFormat="1" ht="31.2" customHeight="1" x14ac:dyDescent="0.25">
      <c r="A165" s="878" t="s">
        <v>1491</v>
      </c>
      <c r="B165" s="798" t="s">
        <v>1540</v>
      </c>
      <c r="C165" s="787" t="s">
        <v>1541</v>
      </c>
      <c r="D165" s="821"/>
      <c r="E165" s="821"/>
      <c r="F165" s="821"/>
      <c r="G165" s="821"/>
      <c r="H165" s="3"/>
      <c r="I165" s="3"/>
      <c r="J165" s="791" t="s">
        <v>799</v>
      </c>
      <c r="K165" s="791" t="s">
        <v>799</v>
      </c>
      <c r="L165" s="791" t="s">
        <v>799</v>
      </c>
      <c r="M165" s="791" t="s">
        <v>799</v>
      </c>
      <c r="N165" s="791" t="s">
        <v>799</v>
      </c>
      <c r="O165" s="791" t="s">
        <v>799</v>
      </c>
      <c r="P165" s="791" t="s">
        <v>799</v>
      </c>
      <c r="Q165" s="791" t="s">
        <v>799</v>
      </c>
      <c r="R165" s="791" t="s">
        <v>799</v>
      </c>
      <c r="S165" s="791" t="s">
        <v>799</v>
      </c>
      <c r="T165" s="791" t="s">
        <v>799</v>
      </c>
      <c r="U165" s="815" t="s">
        <v>799</v>
      </c>
      <c r="V165" s="815" t="s">
        <v>799</v>
      </c>
      <c r="W165" s="815" t="s">
        <v>799</v>
      </c>
      <c r="X165" s="815" t="s">
        <v>799</v>
      </c>
      <c r="Y165" s="1020" t="s">
        <v>799</v>
      </c>
      <c r="Z165" s="1025"/>
      <c r="AA165" s="1028"/>
    </row>
    <row r="166" spans="1:27" s="124" customFormat="1" ht="30.6" x14ac:dyDescent="0.25">
      <c r="A166" s="878" t="s">
        <v>1492</v>
      </c>
      <c r="B166" s="798" t="s">
        <v>1544</v>
      </c>
      <c r="C166" s="787" t="s">
        <v>1542</v>
      </c>
      <c r="D166" s="821"/>
      <c r="E166" s="821"/>
      <c r="F166" s="821"/>
      <c r="G166" s="821"/>
      <c r="H166" s="3"/>
      <c r="I166" s="3"/>
      <c r="J166" s="396" t="s">
        <v>1214</v>
      </c>
      <c r="K166" s="791" t="s">
        <v>1461</v>
      </c>
      <c r="L166" s="397" t="s">
        <v>1543</v>
      </c>
      <c r="M166" s="792" t="s">
        <v>1545</v>
      </c>
      <c r="N166" s="396" t="s">
        <v>984</v>
      </c>
      <c r="O166" s="1031">
        <v>10872.01</v>
      </c>
      <c r="P166" s="873"/>
      <c r="Q166" s="396" t="s">
        <v>984</v>
      </c>
      <c r="R166" s="396" t="s">
        <v>977</v>
      </c>
      <c r="S166" s="396" t="s">
        <v>977</v>
      </c>
      <c r="T166" s="793">
        <v>44905100</v>
      </c>
      <c r="U166" s="886">
        <v>10872.01</v>
      </c>
      <c r="V166" s="886">
        <f>10872.01</f>
        <v>10872.01</v>
      </c>
      <c r="W166" s="886">
        <f t="shared" ref="W166:X166" si="24">10872.01</f>
        <v>10872.01</v>
      </c>
      <c r="X166" s="886">
        <f t="shared" si="24"/>
        <v>10872.01</v>
      </c>
      <c r="Y166" s="1041" t="s">
        <v>1365</v>
      </c>
      <c r="Z166" s="1025">
        <f t="shared" si="19"/>
        <v>0</v>
      </c>
      <c r="AA166" s="1028">
        <f t="shared" si="20"/>
        <v>0</v>
      </c>
    </row>
    <row r="167" spans="1:27" s="124" customFormat="1" ht="29.4" customHeight="1" x14ac:dyDescent="0.25">
      <c r="A167" s="878" t="s">
        <v>1493</v>
      </c>
      <c r="B167" s="848" t="s">
        <v>1546</v>
      </c>
      <c r="C167" s="843" t="s">
        <v>1541</v>
      </c>
      <c r="D167" s="821"/>
      <c r="E167" s="821"/>
      <c r="F167" s="821"/>
      <c r="G167" s="821"/>
      <c r="H167" s="3"/>
      <c r="I167" s="3"/>
      <c r="J167" s="1040" t="s">
        <v>799</v>
      </c>
      <c r="K167" s="1040" t="s">
        <v>799</v>
      </c>
      <c r="L167" s="1040" t="s">
        <v>799</v>
      </c>
      <c r="M167" s="1040" t="s">
        <v>799</v>
      </c>
      <c r="N167" s="1040" t="s">
        <v>799</v>
      </c>
      <c r="O167" s="1040" t="s">
        <v>799</v>
      </c>
      <c r="P167" s="1040" t="s">
        <v>799</v>
      </c>
      <c r="Q167" s="1040" t="s">
        <v>799</v>
      </c>
      <c r="R167" s="1040" t="s">
        <v>799</v>
      </c>
      <c r="S167" s="1040" t="s">
        <v>799</v>
      </c>
      <c r="T167" s="1040" t="s">
        <v>799</v>
      </c>
      <c r="U167" s="1040" t="s">
        <v>799</v>
      </c>
      <c r="V167" s="1040" t="s">
        <v>799</v>
      </c>
      <c r="W167" s="1040" t="s">
        <v>799</v>
      </c>
      <c r="X167" s="1040" t="s">
        <v>799</v>
      </c>
      <c r="Y167" s="1045" t="s">
        <v>799</v>
      </c>
      <c r="Z167" s="1025"/>
      <c r="AA167" s="1028"/>
    </row>
    <row r="168" spans="1:27" s="124" customFormat="1" ht="20.399999999999999" x14ac:dyDescent="0.25">
      <c r="A168" s="878" t="s">
        <v>1494</v>
      </c>
      <c r="B168" s="798" t="s">
        <v>1548</v>
      </c>
      <c r="C168" s="787" t="s">
        <v>1547</v>
      </c>
      <c r="D168" s="1043"/>
      <c r="E168" s="1043"/>
      <c r="F168" s="1043"/>
      <c r="G168" s="1043"/>
      <c r="H168" s="87"/>
      <c r="I168" s="87"/>
      <c r="J168" s="396" t="s">
        <v>1553</v>
      </c>
      <c r="K168" s="791" t="s">
        <v>1552</v>
      </c>
      <c r="L168" s="397" t="s">
        <v>1554</v>
      </c>
      <c r="M168" s="792" t="s">
        <v>1527</v>
      </c>
      <c r="N168" s="396" t="s">
        <v>984</v>
      </c>
      <c r="O168" s="1031">
        <v>14000</v>
      </c>
      <c r="P168" s="1044"/>
      <c r="Q168" s="396" t="s">
        <v>977</v>
      </c>
      <c r="R168" s="396" t="s">
        <v>977</v>
      </c>
      <c r="S168" s="396" t="s">
        <v>977</v>
      </c>
      <c r="T168" s="793">
        <v>44905100</v>
      </c>
      <c r="U168" s="886">
        <v>14000</v>
      </c>
      <c r="V168" s="886">
        <v>3000</v>
      </c>
      <c r="W168" s="886">
        <v>3000</v>
      </c>
      <c r="X168" s="886">
        <v>3000</v>
      </c>
      <c r="Y168" s="1041" t="s">
        <v>1365</v>
      </c>
      <c r="Z168" s="1025">
        <f>O168-X168</f>
        <v>11000</v>
      </c>
      <c r="AA168" s="1028">
        <f t="shared" si="20"/>
        <v>11000</v>
      </c>
    </row>
    <row r="169" spans="1:27" s="124" customFormat="1" ht="40.799999999999997" x14ac:dyDescent="0.25">
      <c r="A169" s="878" t="s">
        <v>1495</v>
      </c>
      <c r="B169" s="798" t="s">
        <v>1549</v>
      </c>
      <c r="C169" s="787" t="s">
        <v>1556</v>
      </c>
      <c r="D169" s="1043"/>
      <c r="E169" s="1043"/>
      <c r="F169" s="1043"/>
      <c r="G169" s="1043"/>
      <c r="H169" s="87"/>
      <c r="I169" s="87"/>
      <c r="J169" s="396" t="s">
        <v>1164</v>
      </c>
      <c r="K169" s="791" t="s">
        <v>1431</v>
      </c>
      <c r="L169" s="397" t="s">
        <v>1555</v>
      </c>
      <c r="M169" s="792" t="s">
        <v>1507</v>
      </c>
      <c r="N169" s="396" t="s">
        <v>984</v>
      </c>
      <c r="O169" s="1031">
        <v>14349.18</v>
      </c>
      <c r="P169" s="1044"/>
      <c r="Q169" s="396" t="s">
        <v>1613</v>
      </c>
      <c r="R169" s="396" t="s">
        <v>977</v>
      </c>
      <c r="S169" s="396" t="s">
        <v>977</v>
      </c>
      <c r="T169" s="793">
        <v>44905100</v>
      </c>
      <c r="U169" s="886">
        <f>6489.89</f>
        <v>6489.89</v>
      </c>
      <c r="V169" s="886">
        <v>6489.89</v>
      </c>
      <c r="W169" s="886">
        <v>6489.89</v>
      </c>
      <c r="X169" s="886">
        <v>6489.89</v>
      </c>
      <c r="Y169" s="1041" t="s">
        <v>641</v>
      </c>
      <c r="Z169" s="1025">
        <f t="shared" si="19"/>
        <v>7859.29</v>
      </c>
      <c r="AA169" s="1028">
        <f t="shared" si="20"/>
        <v>0</v>
      </c>
    </row>
    <row r="170" spans="1:27" s="124" customFormat="1" ht="20.399999999999999" x14ac:dyDescent="0.25">
      <c r="A170" s="878" t="s">
        <v>1496</v>
      </c>
      <c r="B170" s="798" t="s">
        <v>1550</v>
      </c>
      <c r="C170" s="787" t="s">
        <v>1557</v>
      </c>
      <c r="D170" s="1043"/>
      <c r="E170" s="1043"/>
      <c r="F170" s="1043"/>
      <c r="G170" s="1043"/>
      <c r="H170" s="87"/>
      <c r="I170" s="87"/>
      <c r="J170" s="396" t="s">
        <v>1559</v>
      </c>
      <c r="K170" s="791" t="s">
        <v>1558</v>
      </c>
      <c r="L170" s="397" t="s">
        <v>1506</v>
      </c>
      <c r="M170" s="792" t="s">
        <v>1560</v>
      </c>
      <c r="N170" s="396" t="s">
        <v>984</v>
      </c>
      <c r="O170" s="1031">
        <v>14000</v>
      </c>
      <c r="P170" s="1044"/>
      <c r="Q170" s="396" t="s">
        <v>977</v>
      </c>
      <c r="R170" s="396" t="s">
        <v>977</v>
      </c>
      <c r="S170" s="396" t="s">
        <v>977</v>
      </c>
      <c r="T170" s="793">
        <v>44905100</v>
      </c>
      <c r="U170" s="886">
        <f>14000</f>
        <v>14000</v>
      </c>
      <c r="V170" s="886">
        <v>14000</v>
      </c>
      <c r="W170" s="886">
        <v>14000</v>
      </c>
      <c r="X170" s="886">
        <v>14000</v>
      </c>
      <c r="Y170" s="1041" t="s">
        <v>1365</v>
      </c>
      <c r="Z170" s="1025">
        <f t="shared" si="19"/>
        <v>0</v>
      </c>
      <c r="AA170" s="1028">
        <f t="shared" si="20"/>
        <v>0</v>
      </c>
    </row>
    <row r="171" spans="1:27" s="124" customFormat="1" ht="51" x14ac:dyDescent="0.25">
      <c r="A171" s="878" t="s">
        <v>1497</v>
      </c>
      <c r="B171" s="798" t="s">
        <v>1551</v>
      </c>
      <c r="C171" s="787" t="s">
        <v>1562</v>
      </c>
      <c r="D171" s="1043"/>
      <c r="E171" s="1043"/>
      <c r="F171" s="1043"/>
      <c r="G171" s="1043"/>
      <c r="H171" s="87"/>
      <c r="I171" s="87"/>
      <c r="J171" s="396" t="s">
        <v>1164</v>
      </c>
      <c r="K171" s="791" t="s">
        <v>1431</v>
      </c>
      <c r="L171" s="397" t="s">
        <v>1561</v>
      </c>
      <c r="M171" s="792" t="s">
        <v>1539</v>
      </c>
      <c r="N171" s="396" t="s">
        <v>984</v>
      </c>
      <c r="O171" s="1031">
        <v>13507.12</v>
      </c>
      <c r="P171" s="1044"/>
      <c r="Q171" s="396" t="s">
        <v>984</v>
      </c>
      <c r="R171" s="396" t="s">
        <v>977</v>
      </c>
      <c r="S171" s="396" t="s">
        <v>977</v>
      </c>
      <c r="T171" s="793">
        <v>44905100</v>
      </c>
      <c r="U171" s="886">
        <v>13507.12</v>
      </c>
      <c r="V171" s="886">
        <v>13507.12</v>
      </c>
      <c r="W171" s="886">
        <v>13507.12</v>
      </c>
      <c r="X171" s="886">
        <v>13507.12</v>
      </c>
      <c r="Y171" s="1041" t="s">
        <v>1365</v>
      </c>
      <c r="Z171" s="1025">
        <f t="shared" si="19"/>
        <v>0</v>
      </c>
      <c r="AA171" s="1028">
        <f t="shared" si="20"/>
        <v>0</v>
      </c>
    </row>
    <row r="172" spans="1:27" s="124" customFormat="1" ht="37.200000000000003" customHeight="1" x14ac:dyDescent="0.25">
      <c r="A172" s="878" t="s">
        <v>1592</v>
      </c>
      <c r="B172" s="798" t="s">
        <v>716</v>
      </c>
      <c r="C172" s="787" t="s">
        <v>1595</v>
      </c>
      <c r="D172" s="1043"/>
      <c r="E172" s="1043"/>
      <c r="F172" s="1043"/>
      <c r="G172" s="1043"/>
      <c r="H172" s="87"/>
      <c r="I172" s="87"/>
      <c r="J172" s="396" t="s">
        <v>1009</v>
      </c>
      <c r="K172" s="791" t="s">
        <v>1443</v>
      </c>
      <c r="L172" s="397" t="s">
        <v>1596</v>
      </c>
      <c r="M172" s="792" t="s">
        <v>1597</v>
      </c>
      <c r="N172" s="396" t="s">
        <v>1598</v>
      </c>
      <c r="O172" s="1031">
        <v>1315452.69</v>
      </c>
      <c r="P172" s="1044"/>
      <c r="Q172" s="396" t="s">
        <v>977</v>
      </c>
      <c r="R172" s="396" t="s">
        <v>977</v>
      </c>
      <c r="S172" s="396" t="s">
        <v>977</v>
      </c>
      <c r="T172" s="793">
        <v>33903900</v>
      </c>
      <c r="U172" s="886">
        <f>397156.45+457933.55</f>
        <v>855090</v>
      </c>
      <c r="V172" s="886">
        <f>397156.45+457933.55</f>
        <v>855090</v>
      </c>
      <c r="W172" s="886">
        <f>V172</f>
        <v>855090</v>
      </c>
      <c r="X172" s="886">
        <f>W172</f>
        <v>855090</v>
      </c>
      <c r="Y172" s="1041" t="s">
        <v>641</v>
      </c>
      <c r="Z172" s="1025">
        <f t="shared" si="19"/>
        <v>460362.68999999994</v>
      </c>
      <c r="AA172" s="1028">
        <f t="shared" si="20"/>
        <v>0</v>
      </c>
    </row>
    <row r="173" spans="1:27" s="124" customFormat="1" ht="30.6" x14ac:dyDescent="0.25">
      <c r="A173" s="878" t="s">
        <v>1593</v>
      </c>
      <c r="B173" s="798" t="s">
        <v>1569</v>
      </c>
      <c r="C173" s="787" t="s">
        <v>1582</v>
      </c>
      <c r="D173" s="1043"/>
      <c r="E173" s="1043"/>
      <c r="F173" s="1043"/>
      <c r="G173" s="1043"/>
      <c r="H173" s="87"/>
      <c r="I173" s="87"/>
      <c r="J173" s="1046" t="s">
        <v>1214</v>
      </c>
      <c r="K173" s="791" t="s">
        <v>1585</v>
      </c>
      <c r="L173" s="397" t="s">
        <v>1586</v>
      </c>
      <c r="M173" s="792" t="s">
        <v>1587</v>
      </c>
      <c r="N173" s="396" t="s">
        <v>1588</v>
      </c>
      <c r="O173" s="1031">
        <v>14390</v>
      </c>
      <c r="P173" s="397"/>
      <c r="Q173" s="396" t="s">
        <v>984</v>
      </c>
      <c r="R173" s="396" t="s">
        <v>977</v>
      </c>
      <c r="S173" s="396" t="s">
        <v>977</v>
      </c>
      <c r="T173" s="793">
        <v>44905100</v>
      </c>
      <c r="U173" s="789">
        <f>14390</f>
        <v>14390</v>
      </c>
      <c r="V173" s="886">
        <v>0</v>
      </c>
      <c r="W173" s="886">
        <v>0</v>
      </c>
      <c r="X173" s="886">
        <v>0</v>
      </c>
      <c r="Y173" s="1041" t="s">
        <v>1365</v>
      </c>
      <c r="Z173" s="1025">
        <f t="shared" si="19"/>
        <v>14390</v>
      </c>
      <c r="AA173" s="1028">
        <f t="shared" si="20"/>
        <v>14390</v>
      </c>
    </row>
    <row r="174" spans="1:27" s="124" customFormat="1" ht="20.399999999999999" x14ac:dyDescent="0.25">
      <c r="A174" s="878" t="s">
        <v>1594</v>
      </c>
      <c r="B174" s="798" t="s">
        <v>1583</v>
      </c>
      <c r="C174" s="787" t="s">
        <v>1584</v>
      </c>
      <c r="D174" s="1043"/>
      <c r="E174" s="1043"/>
      <c r="F174" s="1043"/>
      <c r="G174" s="1043"/>
      <c r="H174" s="87"/>
      <c r="I174" s="87"/>
      <c r="J174" s="1046" t="s">
        <v>1589</v>
      </c>
      <c r="K174" s="791" t="s">
        <v>1590</v>
      </c>
      <c r="L174" s="397" t="s">
        <v>1570</v>
      </c>
      <c r="M174" s="792" t="s">
        <v>1587</v>
      </c>
      <c r="N174" s="396" t="s">
        <v>1591</v>
      </c>
      <c r="O174" s="1031">
        <v>14512.5</v>
      </c>
      <c r="P174" s="1044"/>
      <c r="Q174" s="396" t="s">
        <v>977</v>
      </c>
      <c r="R174" s="396" t="s">
        <v>977</v>
      </c>
      <c r="S174" s="396" t="s">
        <v>977</v>
      </c>
      <c r="T174" s="793">
        <v>44905100</v>
      </c>
      <c r="U174" s="789">
        <f>14512.5</f>
        <v>14512.5</v>
      </c>
      <c r="V174" s="886">
        <v>14512.5</v>
      </c>
      <c r="W174" s="886">
        <v>14512.5</v>
      </c>
      <c r="X174" s="886">
        <v>14512.5</v>
      </c>
      <c r="Y174" s="1041" t="s">
        <v>1365</v>
      </c>
      <c r="Z174" s="1025">
        <f t="shared" si="19"/>
        <v>0</v>
      </c>
      <c r="AA174" s="1028">
        <f t="shared" si="20"/>
        <v>0</v>
      </c>
    </row>
    <row r="175" spans="1:27" ht="21" customHeight="1" x14ac:dyDescent="0.25">
      <c r="B175" s="798" t="s">
        <v>1601</v>
      </c>
      <c r="C175" s="787" t="s">
        <v>1604</v>
      </c>
      <c r="D175" s="1043"/>
      <c r="E175" s="1043"/>
      <c r="F175" s="1043"/>
      <c r="G175" s="1043"/>
      <c r="H175" s="87"/>
      <c r="I175" s="87"/>
      <c r="J175" s="396" t="s">
        <v>1164</v>
      </c>
      <c r="K175" s="791" t="s">
        <v>1431</v>
      </c>
      <c r="L175" s="397" t="s">
        <v>1605</v>
      </c>
      <c r="M175" s="792" t="s">
        <v>1606</v>
      </c>
      <c r="N175" s="396" t="s">
        <v>1023</v>
      </c>
      <c r="O175" s="1031">
        <v>14499.98</v>
      </c>
      <c r="P175" s="1044"/>
      <c r="Q175" s="396" t="s">
        <v>984</v>
      </c>
      <c r="R175" s="396" t="s">
        <v>977</v>
      </c>
      <c r="S175" s="396" t="s">
        <v>977</v>
      </c>
      <c r="T175" s="793">
        <v>44905100</v>
      </c>
      <c r="U175" s="789">
        <v>14499.98</v>
      </c>
      <c r="V175" s="886">
        <v>14499.98</v>
      </c>
      <c r="W175" s="886">
        <v>14499.98</v>
      </c>
      <c r="X175" s="886">
        <v>14499.98</v>
      </c>
      <c r="Y175" s="1041" t="s">
        <v>1365</v>
      </c>
      <c r="Z175" s="1025">
        <f t="shared" si="19"/>
        <v>0</v>
      </c>
      <c r="AA175" s="1028">
        <f t="shared" si="20"/>
        <v>0</v>
      </c>
    </row>
    <row r="176" spans="1:27" ht="51" x14ac:dyDescent="0.25">
      <c r="B176" s="798" t="s">
        <v>1602</v>
      </c>
      <c r="C176" s="787" t="s">
        <v>1607</v>
      </c>
      <c r="D176" s="1043"/>
      <c r="E176" s="1043"/>
      <c r="F176" s="1043"/>
      <c r="G176" s="1043"/>
      <c r="H176" s="87"/>
      <c r="I176" s="87"/>
      <c r="J176" s="1046" t="s">
        <v>1214</v>
      </c>
      <c r="K176" s="791" t="s">
        <v>1610</v>
      </c>
      <c r="L176" s="397" t="s">
        <v>1608</v>
      </c>
      <c r="M176" s="792" t="s">
        <v>1606</v>
      </c>
      <c r="N176" s="396" t="s">
        <v>984</v>
      </c>
      <c r="O176" s="1031">
        <v>14500.08</v>
      </c>
      <c r="P176" s="1044"/>
      <c r="Q176" s="396" t="s">
        <v>984</v>
      </c>
      <c r="R176" s="396" t="s">
        <v>977</v>
      </c>
      <c r="S176" s="396" t="s">
        <v>977</v>
      </c>
      <c r="T176" s="793">
        <v>44905100</v>
      </c>
      <c r="U176" s="789">
        <v>14500.08</v>
      </c>
      <c r="V176" s="886">
        <v>0</v>
      </c>
      <c r="W176" s="886">
        <v>0</v>
      </c>
      <c r="X176" s="886">
        <v>0</v>
      </c>
      <c r="Y176" s="1041" t="s">
        <v>1365</v>
      </c>
      <c r="Z176" s="1025">
        <f t="shared" si="19"/>
        <v>14500.08</v>
      </c>
      <c r="AA176" s="1028">
        <f t="shared" si="20"/>
        <v>14500.08</v>
      </c>
    </row>
    <row r="177" spans="2:27" ht="21" customHeight="1" x14ac:dyDescent="0.25">
      <c r="B177" s="798" t="s">
        <v>1603</v>
      </c>
      <c r="C177" s="787" t="s">
        <v>1609</v>
      </c>
      <c r="D177" s="1043"/>
      <c r="E177" s="1043"/>
      <c r="F177" s="1043"/>
      <c r="G177" s="1043"/>
      <c r="H177" s="87"/>
      <c r="I177" s="87"/>
      <c r="J177" s="1046" t="s">
        <v>1214</v>
      </c>
      <c r="K177" s="791" t="s">
        <v>1610</v>
      </c>
      <c r="L177" s="397" t="s">
        <v>1611</v>
      </c>
      <c r="M177" s="792" t="s">
        <v>1612</v>
      </c>
      <c r="N177" s="396" t="s">
        <v>984</v>
      </c>
      <c r="O177" s="1031">
        <v>10654.18</v>
      </c>
      <c r="P177" s="1044"/>
      <c r="Q177" s="396" t="s">
        <v>977</v>
      </c>
      <c r="R177" s="396" t="s">
        <v>977</v>
      </c>
      <c r="S177" s="396" t="s">
        <v>977</v>
      </c>
      <c r="T177" s="793">
        <v>44905100</v>
      </c>
      <c r="U177" s="789">
        <v>10654.18</v>
      </c>
      <c r="V177" s="886">
        <v>0</v>
      </c>
      <c r="W177" s="886">
        <v>0</v>
      </c>
      <c r="X177" s="886">
        <v>0</v>
      </c>
      <c r="Y177" s="1041" t="s">
        <v>1365</v>
      </c>
      <c r="Z177" s="1025">
        <f t="shared" si="19"/>
        <v>10654.18</v>
      </c>
      <c r="AA177" s="1028">
        <f t="shared" si="20"/>
        <v>10654.18</v>
      </c>
    </row>
    <row r="178" spans="2:27" x14ac:dyDescent="0.25">
      <c r="Z178" s="1025"/>
      <c r="AA178" s="1028"/>
    </row>
    <row r="179" spans="2:27" x14ac:dyDescent="0.25">
      <c r="Z179" s="1025"/>
      <c r="AA179" s="1028"/>
    </row>
    <row r="180" spans="2:27" x14ac:dyDescent="0.25">
      <c r="Z180" s="1025"/>
      <c r="AA180" s="1028"/>
    </row>
    <row r="181" spans="2:27" x14ac:dyDescent="0.25">
      <c r="Z181" s="1025"/>
      <c r="AA181" s="1028"/>
    </row>
    <row r="182" spans="2:27" x14ac:dyDescent="0.25">
      <c r="Z182" s="1025"/>
      <c r="AA182" s="1028"/>
    </row>
    <row r="183" spans="2:27" x14ac:dyDescent="0.25">
      <c r="Z183" s="1025"/>
      <c r="AA183" s="1028"/>
    </row>
    <row r="184" spans="2:27" x14ac:dyDescent="0.25">
      <c r="Z184" s="1025"/>
      <c r="AA184" s="1028"/>
    </row>
    <row r="185" spans="2:27" x14ac:dyDescent="0.25">
      <c r="Z185" s="1025"/>
      <c r="AA185" s="1028"/>
    </row>
    <row r="186" spans="2:27" x14ac:dyDescent="0.25">
      <c r="Z186" s="1025"/>
      <c r="AA186" s="1028"/>
    </row>
    <row r="187" spans="2:27" x14ac:dyDescent="0.25">
      <c r="Z187" s="1025"/>
      <c r="AA187" s="1028"/>
    </row>
    <row r="188" spans="2:27" x14ac:dyDescent="0.25">
      <c r="Z188" s="1025"/>
      <c r="AA188" s="1028"/>
    </row>
    <row r="189" spans="2:27" x14ac:dyDescent="0.25">
      <c r="Z189" s="1025"/>
      <c r="AA189" s="1028"/>
    </row>
    <row r="190" spans="2:27" x14ac:dyDescent="0.25">
      <c r="Z190" s="1025"/>
      <c r="AA190" s="1028"/>
    </row>
    <row r="191" spans="2:27" x14ac:dyDescent="0.25">
      <c r="Z191" s="1025"/>
      <c r="AA191" s="1028"/>
    </row>
    <row r="192" spans="2:27" x14ac:dyDescent="0.25">
      <c r="Z192" s="1025"/>
      <c r="AA192" s="1028"/>
    </row>
    <row r="193" spans="26:27" x14ac:dyDescent="0.25">
      <c r="Z193" s="1025"/>
      <c r="AA193" s="1028"/>
    </row>
    <row r="194" spans="26:27" x14ac:dyDescent="0.25">
      <c r="Z194" s="1025"/>
      <c r="AA194" s="1028"/>
    </row>
    <row r="195" spans="26:27" x14ac:dyDescent="0.25">
      <c r="Z195" s="1025"/>
      <c r="AA195" s="1028"/>
    </row>
    <row r="196" spans="26:27" x14ac:dyDescent="0.25">
      <c r="Z196" s="1025"/>
      <c r="AA196" s="1028"/>
    </row>
    <row r="197" spans="26:27" x14ac:dyDescent="0.25">
      <c r="Z197" s="1025"/>
      <c r="AA197" s="1028"/>
    </row>
    <row r="198" spans="26:27" x14ac:dyDescent="0.25">
      <c r="Z198" s="1025"/>
      <c r="AA198" s="1028"/>
    </row>
    <row r="199" spans="26:27" x14ac:dyDescent="0.25">
      <c r="Z199" s="1025"/>
      <c r="AA199" s="1028"/>
    </row>
    <row r="200" spans="26:27" x14ac:dyDescent="0.25">
      <c r="Z200" s="1025"/>
      <c r="AA200" s="1028"/>
    </row>
    <row r="201" spans="26:27" x14ac:dyDescent="0.25">
      <c r="Z201" s="1025"/>
      <c r="AA201" s="1028"/>
    </row>
    <row r="202" spans="26:27" x14ac:dyDescent="0.25">
      <c r="Z202" s="1025"/>
      <c r="AA202" s="1028"/>
    </row>
    <row r="203" spans="26:27" x14ac:dyDescent="0.25">
      <c r="Z203" s="1025"/>
      <c r="AA203" s="1028"/>
    </row>
    <row r="204" spans="26:27" x14ac:dyDescent="0.25">
      <c r="Z204" s="1025"/>
      <c r="AA204" s="1028"/>
    </row>
    <row r="205" spans="26:27" x14ac:dyDescent="0.25">
      <c r="Z205" s="1025"/>
      <c r="AA205" s="1028"/>
    </row>
    <row r="206" spans="26:27" x14ac:dyDescent="0.25">
      <c r="Z206" s="1025"/>
      <c r="AA206" s="1028"/>
    </row>
    <row r="207" spans="26:27" x14ac:dyDescent="0.25">
      <c r="Z207" s="1025"/>
      <c r="AA207" s="1028"/>
    </row>
    <row r="208" spans="26:27" x14ac:dyDescent="0.25">
      <c r="Z208" s="1025"/>
      <c r="AA208" s="1028"/>
    </row>
    <row r="209" spans="26:27" x14ac:dyDescent="0.25">
      <c r="Z209" s="1025"/>
      <c r="AA209" s="1028"/>
    </row>
    <row r="210" spans="26:27" x14ac:dyDescent="0.25">
      <c r="Z210" s="1025"/>
      <c r="AA210" s="1028"/>
    </row>
    <row r="211" spans="26:27" x14ac:dyDescent="0.25">
      <c r="Z211" s="1025"/>
      <c r="AA211" s="1028"/>
    </row>
    <row r="212" spans="26:27" x14ac:dyDescent="0.25">
      <c r="Z212" s="1025"/>
      <c r="AA212" s="1028"/>
    </row>
    <row r="213" spans="26:27" x14ac:dyDescent="0.25">
      <c r="Z213" s="1025"/>
      <c r="AA213" s="1028"/>
    </row>
    <row r="214" spans="26:27" x14ac:dyDescent="0.25">
      <c r="Z214" s="1025"/>
      <c r="AA214" s="1028"/>
    </row>
    <row r="215" spans="26:27" x14ac:dyDescent="0.25">
      <c r="Z215" s="1025"/>
      <c r="AA215" s="1028"/>
    </row>
    <row r="216" spans="26:27" x14ac:dyDescent="0.25">
      <c r="Z216" s="1025"/>
      <c r="AA216" s="1028"/>
    </row>
  </sheetData>
  <mergeCells count="52">
    <mergeCell ref="AA9:AA12"/>
    <mergeCell ref="Z9:Z12"/>
    <mergeCell ref="C140:L140"/>
    <mergeCell ref="B6:Y6"/>
    <mergeCell ref="B1:Y1"/>
    <mergeCell ref="B2:Y2"/>
    <mergeCell ref="B3:Y3"/>
    <mergeCell ref="B4:Y4"/>
    <mergeCell ref="B5:Y5"/>
    <mergeCell ref="B7:Y7"/>
    <mergeCell ref="F8:J8"/>
    <mergeCell ref="D9:G9"/>
    <mergeCell ref="J9:K9"/>
    <mergeCell ref="L9:P9"/>
    <mergeCell ref="Q9:R9"/>
    <mergeCell ref="S9:S12"/>
    <mergeCell ref="T9:W9"/>
    <mergeCell ref="X9:X12"/>
    <mergeCell ref="Y9:Y12"/>
    <mergeCell ref="M10:M12"/>
    <mergeCell ref="B10:B12"/>
    <mergeCell ref="C10:C12"/>
    <mergeCell ref="D10:D12"/>
    <mergeCell ref="E10:E12"/>
    <mergeCell ref="F10:F12"/>
    <mergeCell ref="U10:U12"/>
    <mergeCell ref="V10:V12"/>
    <mergeCell ref="W10:W12"/>
    <mergeCell ref="C14:L14"/>
    <mergeCell ref="R10:R12"/>
    <mergeCell ref="T10:T12"/>
    <mergeCell ref="C17:L17"/>
    <mergeCell ref="N10:N12"/>
    <mergeCell ref="O10:O12"/>
    <mergeCell ref="P10:P12"/>
    <mergeCell ref="Q10:Q12"/>
    <mergeCell ref="H10:H12"/>
    <mergeCell ref="I10:I12"/>
    <mergeCell ref="J10:J12"/>
    <mergeCell ref="K10:K12"/>
    <mergeCell ref="L10:L12"/>
    <mergeCell ref="G10:G12"/>
    <mergeCell ref="C77:L77"/>
    <mergeCell ref="C87:L87"/>
    <mergeCell ref="C88:L88"/>
    <mergeCell ref="C116:L116"/>
    <mergeCell ref="C20:L20"/>
    <mergeCell ref="C26:L26"/>
    <mergeCell ref="C54:L54"/>
    <mergeCell ref="C55:L55"/>
    <mergeCell ref="C60:L60"/>
    <mergeCell ref="C71:L71"/>
  </mergeCells>
  <pageMargins left="0.11811023622047245" right="0.31496062992125984" top="0.78740157480314965" bottom="0.78740157480314965" header="0.31496062992125984" footer="0.31496062992125984"/>
  <pageSetup paperSize="9" scale="55" orientation="landscape" horizontalDpi="0" verticalDpi="0"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E44"/>
  <sheetViews>
    <sheetView topLeftCell="A22" workbookViewId="0">
      <selection activeCell="E44" sqref="E44"/>
    </sheetView>
  </sheetViews>
  <sheetFormatPr defaultRowHeight="13.2" x14ac:dyDescent="0.25"/>
  <cols>
    <col min="3" max="3" width="9.109375" style="729"/>
    <col min="4" max="4" width="54.6640625" style="728" customWidth="1"/>
    <col min="5" max="5" width="23.44140625" style="745" customWidth="1"/>
  </cols>
  <sheetData>
    <row r="4" spans="3:5" x14ac:dyDescent="0.25">
      <c r="C4" s="1013" t="s">
        <v>1236</v>
      </c>
      <c r="D4" s="1013"/>
      <c r="E4" s="731"/>
    </row>
    <row r="5" spans="3:5" x14ac:dyDescent="0.25">
      <c r="C5" s="1013" t="s">
        <v>1237</v>
      </c>
      <c r="D5" s="1013"/>
      <c r="E5" s="731"/>
    </row>
    <row r="6" spans="3:5" x14ac:dyDescent="0.25">
      <c r="C6" s="731"/>
      <c r="D6" s="731"/>
      <c r="E6" s="731"/>
    </row>
    <row r="7" spans="3:5" x14ac:dyDescent="0.25">
      <c r="C7" s="1013" t="s">
        <v>1238</v>
      </c>
      <c r="D7" s="1013"/>
      <c r="E7" s="731"/>
    </row>
    <row r="8" spans="3:5" x14ac:dyDescent="0.25">
      <c r="C8" s="1013" t="s">
        <v>1239</v>
      </c>
      <c r="D8" s="1013"/>
      <c r="E8" s="731"/>
    </row>
    <row r="9" spans="3:5" x14ac:dyDescent="0.25">
      <c r="C9" s="1013" t="s">
        <v>1241</v>
      </c>
      <c r="D9" s="1013"/>
      <c r="E9" s="737"/>
    </row>
    <row r="10" spans="3:5" x14ac:dyDescent="0.25">
      <c r="C10" s="1014" t="s">
        <v>1240</v>
      </c>
      <c r="D10" s="1014"/>
      <c r="E10" s="738"/>
    </row>
    <row r="11" spans="3:5" x14ac:dyDescent="0.25">
      <c r="C11" s="1007"/>
      <c r="D11" s="1008"/>
      <c r="E11" s="734"/>
    </row>
    <row r="12" spans="3:5" x14ac:dyDescent="0.25">
      <c r="C12" s="1009"/>
      <c r="D12" s="1010"/>
      <c r="E12" s="736"/>
    </row>
    <row r="13" spans="3:5" x14ac:dyDescent="0.25">
      <c r="C13" s="735"/>
      <c r="D13" s="736"/>
      <c r="E13" s="736"/>
    </row>
    <row r="14" spans="3:5" x14ac:dyDescent="0.25">
      <c r="C14" s="735"/>
      <c r="D14" s="736"/>
      <c r="E14" s="736"/>
    </row>
    <row r="15" spans="3:5" x14ac:dyDescent="0.25">
      <c r="C15" s="735"/>
      <c r="D15" s="736"/>
      <c r="E15" s="736"/>
    </row>
    <row r="16" spans="3:5" x14ac:dyDescent="0.25">
      <c r="C16" s="735"/>
      <c r="D16" s="736"/>
      <c r="E16" s="736"/>
    </row>
    <row r="17" spans="3:5" x14ac:dyDescent="0.25">
      <c r="C17" s="735"/>
      <c r="D17" s="736"/>
      <c r="E17" s="736"/>
    </row>
    <row r="18" spans="3:5" x14ac:dyDescent="0.25">
      <c r="C18" s="735"/>
      <c r="D18" s="736"/>
      <c r="E18" s="736"/>
    </row>
    <row r="19" spans="3:5" x14ac:dyDescent="0.25">
      <c r="C19" s="1011"/>
      <c r="D19" s="1012"/>
      <c r="E19" s="705"/>
    </row>
    <row r="20" spans="3:5" x14ac:dyDescent="0.25">
      <c r="C20" s="732" t="s">
        <v>887</v>
      </c>
      <c r="D20" s="733" t="s">
        <v>1050</v>
      </c>
      <c r="E20" s="435" t="s">
        <v>1049</v>
      </c>
    </row>
    <row r="21" spans="3:5" x14ac:dyDescent="0.25">
      <c r="C21" s="730" t="s">
        <v>896</v>
      </c>
      <c r="D21" s="725" t="s">
        <v>942</v>
      </c>
      <c r="E21" s="188" t="s">
        <v>943</v>
      </c>
    </row>
    <row r="22" spans="3:5" x14ac:dyDescent="0.25">
      <c r="C22" s="730" t="s">
        <v>897</v>
      </c>
      <c r="D22" s="725" t="s">
        <v>1010</v>
      </c>
      <c r="E22" s="705" t="s">
        <v>1009</v>
      </c>
    </row>
    <row r="23" spans="3:5" x14ac:dyDescent="0.25">
      <c r="C23" s="730" t="s">
        <v>898</v>
      </c>
      <c r="D23" s="725" t="s">
        <v>1007</v>
      </c>
      <c r="E23" s="705" t="s">
        <v>1006</v>
      </c>
    </row>
    <row r="24" spans="3:5" x14ac:dyDescent="0.25">
      <c r="C24" s="730" t="s">
        <v>899</v>
      </c>
      <c r="D24" s="726" t="s">
        <v>1032</v>
      </c>
      <c r="E24" s="435" t="s">
        <v>1031</v>
      </c>
    </row>
    <row r="25" spans="3:5" x14ac:dyDescent="0.25">
      <c r="C25" s="730" t="s">
        <v>900</v>
      </c>
      <c r="D25" s="726" t="s">
        <v>1040</v>
      </c>
      <c r="E25" s="435" t="s">
        <v>1039</v>
      </c>
    </row>
    <row r="26" spans="3:5" x14ac:dyDescent="0.25">
      <c r="C26" s="730" t="s">
        <v>901</v>
      </c>
      <c r="D26" s="725" t="s">
        <v>1068</v>
      </c>
      <c r="E26" s="305" t="s">
        <v>1067</v>
      </c>
    </row>
    <row r="27" spans="3:5" x14ac:dyDescent="0.25">
      <c r="C27" s="730" t="s">
        <v>1220</v>
      </c>
      <c r="D27" s="726" t="s">
        <v>1075</v>
      </c>
      <c r="E27" s="305" t="s">
        <v>1074</v>
      </c>
    </row>
    <row r="28" spans="3:5" x14ac:dyDescent="0.25">
      <c r="C28" s="730" t="s">
        <v>1221</v>
      </c>
      <c r="D28" s="725" t="s">
        <v>549</v>
      </c>
      <c r="E28" s="188" t="s">
        <v>926</v>
      </c>
    </row>
    <row r="29" spans="3:5" x14ac:dyDescent="0.25">
      <c r="C29" s="730" t="s">
        <v>1222</v>
      </c>
      <c r="D29" s="726" t="s">
        <v>1085</v>
      </c>
      <c r="E29" s="189"/>
    </row>
    <row r="30" spans="3:5" x14ac:dyDescent="0.25">
      <c r="C30" s="730" t="s">
        <v>1223</v>
      </c>
      <c r="D30" s="725" t="s">
        <v>1163</v>
      </c>
      <c r="E30" s="187"/>
    </row>
    <row r="31" spans="3:5" ht="12.75" customHeight="1" x14ac:dyDescent="0.25">
      <c r="C31" s="730" t="s">
        <v>1224</v>
      </c>
      <c r="D31" s="726" t="s">
        <v>1056</v>
      </c>
      <c r="E31" s="305" t="s">
        <v>1055</v>
      </c>
    </row>
    <row r="32" spans="3:5" ht="22.5" customHeight="1" x14ac:dyDescent="0.25">
      <c r="C32" s="730" t="s">
        <v>1225</v>
      </c>
      <c r="D32" s="726" t="s">
        <v>1037</v>
      </c>
      <c r="E32" s="435" t="s">
        <v>1036</v>
      </c>
    </row>
    <row r="33" spans="3:5" x14ac:dyDescent="0.25">
      <c r="C33" s="730" t="s">
        <v>1226</v>
      </c>
      <c r="D33" s="727" t="s">
        <v>570</v>
      </c>
      <c r="E33" s="188" t="s">
        <v>978</v>
      </c>
    </row>
    <row r="34" spans="3:5" x14ac:dyDescent="0.25">
      <c r="C34" s="730" t="s">
        <v>1227</v>
      </c>
      <c r="D34" s="725" t="s">
        <v>569</v>
      </c>
      <c r="E34" s="189" t="s">
        <v>992</v>
      </c>
    </row>
    <row r="35" spans="3:5" x14ac:dyDescent="0.25">
      <c r="C35" s="730" t="s">
        <v>1228</v>
      </c>
      <c r="D35" s="726" t="s">
        <v>1071</v>
      </c>
      <c r="E35" s="188" t="s">
        <v>986</v>
      </c>
    </row>
    <row r="36" spans="3:5" x14ac:dyDescent="0.25">
      <c r="C36" s="730" t="s">
        <v>1229</v>
      </c>
      <c r="D36" s="725" t="s">
        <v>1213</v>
      </c>
      <c r="E36" s="187"/>
    </row>
    <row r="37" spans="3:5" x14ac:dyDescent="0.25">
      <c r="C37" s="730" t="s">
        <v>1230</v>
      </c>
      <c r="D37" s="725" t="s">
        <v>1143</v>
      </c>
      <c r="E37" s="187"/>
    </row>
    <row r="38" spans="3:5" x14ac:dyDescent="0.25">
      <c r="C38" s="730" t="s">
        <v>1231</v>
      </c>
      <c r="D38" s="725" t="s">
        <v>1027</v>
      </c>
      <c r="E38" s="705" t="s">
        <v>1025</v>
      </c>
    </row>
    <row r="39" spans="3:5" x14ac:dyDescent="0.25">
      <c r="C39" s="730" t="s">
        <v>1232</v>
      </c>
      <c r="D39" s="726" t="s">
        <v>554</v>
      </c>
      <c r="E39" s="189" t="s">
        <v>1000</v>
      </c>
    </row>
    <row r="40" spans="3:5" x14ac:dyDescent="0.25">
      <c r="C40" s="730" t="s">
        <v>1233</v>
      </c>
      <c r="D40" s="725" t="s">
        <v>1014</v>
      </c>
      <c r="E40" s="705" t="s">
        <v>1013</v>
      </c>
    </row>
    <row r="41" spans="3:5" x14ac:dyDescent="0.25">
      <c r="C41" s="730" t="s">
        <v>1234</v>
      </c>
      <c r="D41" s="746" t="s">
        <v>1012</v>
      </c>
      <c r="E41" s="705" t="s">
        <v>1011</v>
      </c>
    </row>
    <row r="42" spans="3:5" x14ac:dyDescent="0.25">
      <c r="C42" s="730" t="s">
        <v>1235</v>
      </c>
      <c r="D42" s="725" t="s">
        <v>939</v>
      </c>
      <c r="E42" s="188" t="s">
        <v>941</v>
      </c>
    </row>
    <row r="43" spans="3:5" x14ac:dyDescent="0.25">
      <c r="C43" s="730" t="s">
        <v>1242</v>
      </c>
      <c r="D43" s="726" t="s">
        <v>1061</v>
      </c>
      <c r="E43" s="305" t="s">
        <v>1060</v>
      </c>
    </row>
    <row r="44" spans="3:5" x14ac:dyDescent="0.25">
      <c r="C44" s="730" t="s">
        <v>1243</v>
      </c>
      <c r="D44" s="726" t="s">
        <v>553</v>
      </c>
      <c r="E44" s="305" t="s">
        <v>1063</v>
      </c>
    </row>
  </sheetData>
  <sortState ref="D4:D81">
    <sortCondition ref="D1"/>
  </sortState>
  <mergeCells count="9">
    <mergeCell ref="C11:D11"/>
    <mergeCell ref="C12:D12"/>
    <mergeCell ref="C19:D19"/>
    <mergeCell ref="C4:D4"/>
    <mergeCell ref="C5:D5"/>
    <mergeCell ref="C7:D7"/>
    <mergeCell ref="C8:D8"/>
    <mergeCell ref="C9:D9"/>
    <mergeCell ref="C10:D10"/>
  </mergeCells>
  <pageMargins left="0.511811024" right="0.511811024" top="0.78740157499999996" bottom="0.78740157499999996" header="0.31496062000000002" footer="0.31496062000000002"/>
  <pageSetup paperSize="9"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5:C114"/>
  <sheetViews>
    <sheetView topLeftCell="A10" workbookViewId="0">
      <selection activeCell="C1" sqref="C1:C1048576"/>
    </sheetView>
  </sheetViews>
  <sheetFormatPr defaultRowHeight="13.2" x14ac:dyDescent="0.25"/>
  <cols>
    <col min="3" max="3" width="45" style="23" customWidth="1"/>
  </cols>
  <sheetData>
    <row r="5" spans="3:3" ht="15.6" x14ac:dyDescent="0.3">
      <c r="C5" s="64"/>
    </row>
    <row r="6" spans="3:3" ht="15.6" x14ac:dyDescent="0.3">
      <c r="C6" s="62"/>
    </row>
    <row r="7" spans="3:3" ht="15.6" x14ac:dyDescent="0.3">
      <c r="C7" s="62"/>
    </row>
    <row r="8" spans="3:3" x14ac:dyDescent="0.25">
      <c r="C8" s="66"/>
    </row>
    <row r="9" spans="3:3" x14ac:dyDescent="0.25">
      <c r="C9"/>
    </row>
    <row r="10" spans="3:3" x14ac:dyDescent="0.25">
      <c r="C10" s="987" t="s">
        <v>956</v>
      </c>
    </row>
    <row r="11" spans="3:3" x14ac:dyDescent="0.25">
      <c r="C11" s="987"/>
    </row>
    <row r="12" spans="3:3" x14ac:dyDescent="0.25">
      <c r="C12" s="987"/>
    </row>
    <row r="13" spans="3:3" x14ac:dyDescent="0.25">
      <c r="C13"/>
    </row>
    <row r="14" spans="3:3" x14ac:dyDescent="0.25">
      <c r="C14"/>
    </row>
    <row r="15" spans="3:3" x14ac:dyDescent="0.25">
      <c r="C15" s="187" t="s">
        <v>1014</v>
      </c>
    </row>
    <row r="16" spans="3:3" x14ac:dyDescent="0.25">
      <c r="C16" s="187" t="s">
        <v>1014</v>
      </c>
    </row>
    <row r="17" spans="3:3" x14ac:dyDescent="0.25">
      <c r="C17" s="187" t="s">
        <v>1143</v>
      </c>
    </row>
    <row r="18" spans="3:3" x14ac:dyDescent="0.25">
      <c r="C18" s="187" t="s">
        <v>569</v>
      </c>
    </row>
    <row r="19" spans="3:3" x14ac:dyDescent="0.25">
      <c r="C19" s="188" t="s">
        <v>436</v>
      </c>
    </row>
    <row r="20" spans="3:3" x14ac:dyDescent="0.25">
      <c r="C20" s="187" t="s">
        <v>569</v>
      </c>
    </row>
    <row r="21" spans="3:3" x14ac:dyDescent="0.25">
      <c r="C21" s="187" t="s">
        <v>1159</v>
      </c>
    </row>
    <row r="22" spans="3:3" x14ac:dyDescent="0.25">
      <c r="C22" s="187" t="s">
        <v>1163</v>
      </c>
    </row>
    <row r="23" spans="3:3" x14ac:dyDescent="0.25">
      <c r="C23" s="188" t="s">
        <v>671</v>
      </c>
    </row>
    <row r="24" spans="3:3" x14ac:dyDescent="0.25">
      <c r="C24" s="188" t="s">
        <v>793</v>
      </c>
    </row>
    <row r="25" spans="3:3" x14ac:dyDescent="0.25">
      <c r="C25" s="188" t="s">
        <v>671</v>
      </c>
    </row>
    <row r="26" spans="3:3" x14ac:dyDescent="0.25">
      <c r="C26" s="188" t="s">
        <v>671</v>
      </c>
    </row>
    <row r="27" spans="3:3" x14ac:dyDescent="0.25">
      <c r="C27" s="187" t="s">
        <v>1159</v>
      </c>
    </row>
    <row r="28" spans="3:3" x14ac:dyDescent="0.25">
      <c r="C28" s="187" t="s">
        <v>1159</v>
      </c>
    </row>
    <row r="29" spans="3:3" x14ac:dyDescent="0.25">
      <c r="C29" s="188" t="s">
        <v>671</v>
      </c>
    </row>
    <row r="30" spans="3:3" x14ac:dyDescent="0.25">
      <c r="C30" s="187" t="s">
        <v>1143</v>
      </c>
    </row>
    <row r="31" spans="3:3" x14ac:dyDescent="0.25">
      <c r="C31" s="187" t="s">
        <v>1163</v>
      </c>
    </row>
    <row r="32" spans="3:3" x14ac:dyDescent="0.25">
      <c r="C32" s="187" t="s">
        <v>1143</v>
      </c>
    </row>
    <row r="33" spans="3:3" x14ac:dyDescent="0.25">
      <c r="C33" s="187" t="s">
        <v>1014</v>
      </c>
    </row>
    <row r="34" spans="3:3" x14ac:dyDescent="0.25">
      <c r="C34" s="187" t="s">
        <v>1163</v>
      </c>
    </row>
    <row r="35" spans="3:3" x14ac:dyDescent="0.25">
      <c r="C35" s="668" t="s">
        <v>1163</v>
      </c>
    </row>
    <row r="36" spans="3:3" x14ac:dyDescent="0.25">
      <c r="C36" s="188" t="s">
        <v>436</v>
      </c>
    </row>
    <row r="37" spans="3:3" x14ac:dyDescent="0.25">
      <c r="C37" s="187" t="s">
        <v>1213</v>
      </c>
    </row>
    <row r="38" spans="3:3" x14ac:dyDescent="0.25">
      <c r="C38" s="188" t="s">
        <v>671</v>
      </c>
    </row>
    <row r="39" spans="3:3" x14ac:dyDescent="0.25">
      <c r="C39" s="188" t="s">
        <v>671</v>
      </c>
    </row>
    <row r="40" spans="3:3" x14ac:dyDescent="0.25">
      <c r="C40" s="188" t="s">
        <v>671</v>
      </c>
    </row>
    <row r="41" spans="3:3" x14ac:dyDescent="0.25">
      <c r="C41"/>
    </row>
    <row r="42" spans="3:3" x14ac:dyDescent="0.25">
      <c r="C42"/>
    </row>
    <row r="43" spans="3:3" x14ac:dyDescent="0.25">
      <c r="C43" s="668" t="s">
        <v>942</v>
      </c>
    </row>
    <row r="44" spans="3:3" x14ac:dyDescent="0.25">
      <c r="C44" s="187" t="s">
        <v>939</v>
      </c>
    </row>
    <row r="45" spans="3:3" x14ac:dyDescent="0.25">
      <c r="C45" s="305" t="s">
        <v>570</v>
      </c>
    </row>
    <row r="46" spans="3:3" x14ac:dyDescent="0.25">
      <c r="C46" s="187" t="s">
        <v>987</v>
      </c>
    </row>
    <row r="47" spans="3:3" x14ac:dyDescent="0.25">
      <c r="C47"/>
    </row>
    <row r="48" spans="3:3" x14ac:dyDescent="0.25">
      <c r="C48" s="187" t="s">
        <v>939</v>
      </c>
    </row>
    <row r="49" spans="3:3" x14ac:dyDescent="0.25">
      <c r="C49" s="189" t="s">
        <v>569</v>
      </c>
    </row>
    <row r="50" spans="3:3" x14ac:dyDescent="0.25">
      <c r="C50" s="187" t="s">
        <v>939</v>
      </c>
    </row>
    <row r="51" spans="3:3" x14ac:dyDescent="0.25">
      <c r="C51" s="668" t="s">
        <v>549</v>
      </c>
    </row>
    <row r="52" spans="3:3" x14ac:dyDescent="0.25">
      <c r="C52" s="189" t="s">
        <v>554</v>
      </c>
    </row>
    <row r="53" spans="3:3" x14ac:dyDescent="0.25">
      <c r="C53" s="187" t="s">
        <v>549</v>
      </c>
    </row>
    <row r="54" spans="3:3" x14ac:dyDescent="0.25">
      <c r="C54" s="187" t="s">
        <v>939</v>
      </c>
    </row>
    <row r="55" spans="3:3" x14ac:dyDescent="0.25">
      <c r="C55" s="187" t="s">
        <v>939</v>
      </c>
    </row>
    <row r="56" spans="3:3" x14ac:dyDescent="0.25">
      <c r="C56" s="187" t="s">
        <v>671</v>
      </c>
    </row>
    <row r="57" spans="3:3" x14ac:dyDescent="0.25">
      <c r="C57" s="668" t="s">
        <v>1007</v>
      </c>
    </row>
    <row r="58" spans="3:3" x14ac:dyDescent="0.25">
      <c r="C58"/>
    </row>
    <row r="59" spans="3:3" x14ac:dyDescent="0.25">
      <c r="C59" s="187" t="s">
        <v>939</v>
      </c>
    </row>
    <row r="60" spans="3:3" x14ac:dyDescent="0.25">
      <c r="C60" s="189" t="s">
        <v>554</v>
      </c>
    </row>
    <row r="61" spans="3:3" x14ac:dyDescent="0.25">
      <c r="C61" s="187" t="s">
        <v>1019</v>
      </c>
    </row>
    <row r="62" spans="3:3" x14ac:dyDescent="0.25">
      <c r="C62" s="187" t="s">
        <v>1014</v>
      </c>
    </row>
    <row r="63" spans="3:3" x14ac:dyDescent="0.25">
      <c r="C63" s="187" t="s">
        <v>798</v>
      </c>
    </row>
    <row r="64" spans="3:3" x14ac:dyDescent="0.25">
      <c r="C64" s="189" t="s">
        <v>569</v>
      </c>
    </row>
    <row r="65" spans="3:3" x14ac:dyDescent="0.25">
      <c r="C65"/>
    </row>
    <row r="66" spans="3:3" x14ac:dyDescent="0.25">
      <c r="C66" s="189" t="s">
        <v>671</v>
      </c>
    </row>
    <row r="67" spans="3:3" x14ac:dyDescent="0.25">
      <c r="C67" s="187" t="s">
        <v>939</v>
      </c>
    </row>
    <row r="68" spans="3:3" x14ac:dyDescent="0.25">
      <c r="C68" s="187" t="s">
        <v>939</v>
      </c>
    </row>
    <row r="69" spans="3:3" x14ac:dyDescent="0.25">
      <c r="C69" s="187" t="s">
        <v>1027</v>
      </c>
    </row>
    <row r="70" spans="3:3" x14ac:dyDescent="0.25">
      <c r="C70" s="187" t="s">
        <v>1014</v>
      </c>
    </row>
    <row r="71" spans="3:3" x14ac:dyDescent="0.25">
      <c r="C71" s="189" t="s">
        <v>671</v>
      </c>
    </row>
    <row r="72" spans="3:3" x14ac:dyDescent="0.25">
      <c r="C72" s="189" t="s">
        <v>671</v>
      </c>
    </row>
    <row r="73" spans="3:3" x14ac:dyDescent="0.25">
      <c r="C73" s="189" t="s">
        <v>671</v>
      </c>
    </row>
    <row r="74" spans="3:3" x14ac:dyDescent="0.25">
      <c r="C74"/>
    </row>
    <row r="75" spans="3:3" x14ac:dyDescent="0.25">
      <c r="C75" s="189" t="s">
        <v>1032</v>
      </c>
    </row>
    <row r="76" spans="3:3" x14ac:dyDescent="0.25">
      <c r="C76" s="189" t="s">
        <v>1032</v>
      </c>
    </row>
    <row r="77" spans="3:3" x14ac:dyDescent="0.25">
      <c r="C77"/>
    </row>
    <row r="78" spans="3:3" ht="20.399999999999999" x14ac:dyDescent="0.25">
      <c r="C78" s="189" t="s">
        <v>1037</v>
      </c>
    </row>
    <row r="79" spans="3:3" x14ac:dyDescent="0.25">
      <c r="C79" s="393" t="s">
        <v>1040</v>
      </c>
    </row>
    <row r="80" spans="3:3" x14ac:dyDescent="0.25">
      <c r="C80"/>
    </row>
    <row r="81" spans="3:3" x14ac:dyDescent="0.25">
      <c r="C81" s="189" t="s">
        <v>1040</v>
      </c>
    </row>
    <row r="82" spans="3:3" x14ac:dyDescent="0.25">
      <c r="C82" s="189" t="s">
        <v>554</v>
      </c>
    </row>
    <row r="83" spans="3:3" x14ac:dyDescent="0.25">
      <c r="C83" s="393" t="s">
        <v>1050</v>
      </c>
    </row>
    <row r="84" spans="3:3" x14ac:dyDescent="0.25">
      <c r="C84" s="393" t="s">
        <v>1050</v>
      </c>
    </row>
    <row r="85" spans="3:3" x14ac:dyDescent="0.25">
      <c r="C85"/>
    </row>
    <row r="86" spans="3:3" x14ac:dyDescent="0.25">
      <c r="C86" s="189" t="s">
        <v>1032</v>
      </c>
    </row>
    <row r="87" spans="3:3" x14ac:dyDescent="0.25">
      <c r="C87" s="189" t="s">
        <v>1056</v>
      </c>
    </row>
    <row r="88" spans="3:3" x14ac:dyDescent="0.25">
      <c r="C88" s="189" t="s">
        <v>549</v>
      </c>
    </row>
    <row r="89" spans="3:3" x14ac:dyDescent="0.25">
      <c r="C89" s="711"/>
    </row>
    <row r="90" spans="3:3" x14ac:dyDescent="0.25">
      <c r="C90" s="189" t="s">
        <v>1061</v>
      </c>
    </row>
    <row r="91" spans="3:3" x14ac:dyDescent="0.25">
      <c r="C91" s="189" t="s">
        <v>553</v>
      </c>
    </row>
    <row r="92" spans="3:3" x14ac:dyDescent="0.25">
      <c r="C92" s="393" t="s">
        <v>1032</v>
      </c>
    </row>
    <row r="93" spans="3:3" x14ac:dyDescent="0.25">
      <c r="C93" s="189" t="s">
        <v>554</v>
      </c>
    </row>
    <row r="94" spans="3:3" x14ac:dyDescent="0.25">
      <c r="C94" s="189" t="s">
        <v>1071</v>
      </c>
    </row>
    <row r="95" spans="3:3" x14ac:dyDescent="0.25">
      <c r="C95" s="393" t="s">
        <v>1068</v>
      </c>
    </row>
    <row r="96" spans="3:3" x14ac:dyDescent="0.25">
      <c r="C96" s="711"/>
    </row>
    <row r="97" spans="3:3" x14ac:dyDescent="0.25">
      <c r="C97" s="189" t="s">
        <v>1073</v>
      </c>
    </row>
    <row r="98" spans="3:3" x14ac:dyDescent="0.25">
      <c r="C98" s="189" t="s">
        <v>549</v>
      </c>
    </row>
    <row r="99" spans="3:3" x14ac:dyDescent="0.25">
      <c r="C99" s="187" t="s">
        <v>570</v>
      </c>
    </row>
    <row r="100" spans="3:3" x14ac:dyDescent="0.25">
      <c r="C100" s="668" t="s">
        <v>1068</v>
      </c>
    </row>
    <row r="101" spans="3:3" x14ac:dyDescent="0.25">
      <c r="C101" s="189" t="s">
        <v>1075</v>
      </c>
    </row>
    <row r="102" spans="3:3" x14ac:dyDescent="0.25">
      <c r="C102" s="187" t="s">
        <v>1079</v>
      </c>
    </row>
    <row r="103" spans="3:3" x14ac:dyDescent="0.25">
      <c r="C103" s="189" t="s">
        <v>1073</v>
      </c>
    </row>
    <row r="104" spans="3:3" x14ac:dyDescent="0.25">
      <c r="C104" s="711"/>
    </row>
    <row r="105" spans="3:3" x14ac:dyDescent="0.25">
      <c r="C105" s="187" t="s">
        <v>939</v>
      </c>
    </row>
    <row r="106" spans="3:3" x14ac:dyDescent="0.25">
      <c r="C106" s="187" t="s">
        <v>570</v>
      </c>
    </row>
    <row r="107" spans="3:3" x14ac:dyDescent="0.25">
      <c r="C107" s="393" t="s">
        <v>1073</v>
      </c>
    </row>
    <row r="108" spans="3:3" x14ac:dyDescent="0.25">
      <c r="C108" s="189" t="s">
        <v>1085</v>
      </c>
    </row>
    <row r="109" spans="3:3" x14ac:dyDescent="0.25">
      <c r="C109" s="189" t="s">
        <v>1075</v>
      </c>
    </row>
    <row r="110" spans="3:3" x14ac:dyDescent="0.25">
      <c r="C110" s="187" t="s">
        <v>939</v>
      </c>
    </row>
    <row r="111" spans="3:3" x14ac:dyDescent="0.25">
      <c r="C111" s="189" t="s">
        <v>1085</v>
      </c>
    </row>
    <row r="112" spans="3:3" x14ac:dyDescent="0.25">
      <c r="C112" s="189" t="s">
        <v>830</v>
      </c>
    </row>
    <row r="113" spans="3:3" x14ac:dyDescent="0.25">
      <c r="C113" s="393" t="s">
        <v>1032</v>
      </c>
    </row>
    <row r="114" spans="3:3" x14ac:dyDescent="0.25">
      <c r="C114" s="187" t="s">
        <v>570</v>
      </c>
    </row>
  </sheetData>
  <mergeCells count="1">
    <mergeCell ref="C10:C12"/>
  </mergeCells>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9</vt:i4>
      </vt:variant>
      <vt:variant>
        <vt:lpstr>Intervalos nomeados</vt:lpstr>
      </vt:variant>
      <vt:variant>
        <vt:i4>8</vt:i4>
      </vt:variant>
    </vt:vector>
  </HeadingPairs>
  <TitlesOfParts>
    <vt:vector size="17" baseType="lpstr">
      <vt:lpstr>OK-Obras 2015  (15-01-2016)</vt:lpstr>
      <vt:lpstr>LICITAÇÃO 2015</vt:lpstr>
      <vt:lpstr>ACOMPANHAMENTO OBRAS 2015</vt:lpstr>
      <vt:lpstr>MAPA ESC. AV. 2</vt:lpstr>
      <vt:lpstr>2016</vt:lpstr>
      <vt:lpstr>1º TRIMESTRE 2016</vt:lpstr>
      <vt:lpstr>3º TRIMESTRE 2016</vt:lpstr>
      <vt:lpstr>EMPRESAS</vt:lpstr>
      <vt:lpstr>Plan1</vt:lpstr>
      <vt:lpstr>'1º TRIMESTRE 2016'!Area_de_impressao</vt:lpstr>
      <vt:lpstr>'3º TRIMESTRE 2016'!Area_de_impressao</vt:lpstr>
      <vt:lpstr>'ACOMPANHAMENTO OBRAS 2015'!Area_de_impressao</vt:lpstr>
      <vt:lpstr>EMPRESAS!Area_de_impressao</vt:lpstr>
      <vt:lpstr>'OK-Obras 2015  (15-01-2016)'!Area_de_impressao</vt:lpstr>
      <vt:lpstr>'3º TRIMESTRE 2016'!Titulos_de_impressao</vt:lpstr>
      <vt:lpstr>'ACOMPANHAMENTO OBRAS 2015'!Titulos_de_impressao</vt:lpstr>
      <vt:lpstr>'OK-Obras 2015  (15-01-2016)'!Titulos_de_impressao</vt:lpstr>
    </vt:vector>
  </TitlesOfParts>
  <Company>P.M.P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CMTN</dc:creator>
  <cp:lastModifiedBy>PC06</cp:lastModifiedBy>
  <cp:lastPrinted>2016-12-29T12:15:14Z</cp:lastPrinted>
  <dcterms:created xsi:type="dcterms:W3CDTF">2001-06-07T15:07:30Z</dcterms:created>
  <dcterms:modified xsi:type="dcterms:W3CDTF">2016-12-29T12:20:57Z</dcterms:modified>
</cp:coreProperties>
</file>